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autoCompressPictures="0"/>
  <bookViews>
    <workbookView xWindow="0" yWindow="0" windowWidth="28520" windowHeight="1574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26" i="1"/>
  <c r="J29" i="1"/>
  <c r="J34" i="1"/>
  <c r="K39" i="1"/>
  <c r="K34" i="1"/>
  <c r="K29" i="1"/>
  <c r="K26" i="1"/>
  <c r="K13" i="1"/>
  <c r="K40" i="1"/>
  <c r="G12" i="1"/>
  <c r="F39" i="1"/>
  <c r="H3" i="1"/>
  <c r="G5" i="1"/>
  <c r="G6" i="1"/>
  <c r="G7" i="1"/>
  <c r="G8" i="1"/>
  <c r="G10" i="1"/>
  <c r="G11" i="1"/>
  <c r="G13" i="1"/>
  <c r="G14" i="1"/>
  <c r="G15" i="1"/>
  <c r="G17" i="1"/>
  <c r="G18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6" i="1"/>
  <c r="G38" i="1"/>
  <c r="I39" i="1"/>
  <c r="E39" i="1"/>
  <c r="K6" i="1"/>
  <c r="K7" i="1"/>
  <c r="K8" i="1"/>
  <c r="K9" i="1"/>
  <c r="K10" i="1"/>
  <c r="K11" i="1"/>
  <c r="K12" i="1"/>
  <c r="K14" i="1"/>
  <c r="K15" i="1"/>
  <c r="K16" i="1"/>
  <c r="K17" i="1"/>
  <c r="K18" i="1"/>
  <c r="K19" i="1"/>
  <c r="K20" i="1"/>
  <c r="K21" i="1"/>
  <c r="K22" i="1"/>
  <c r="K23" i="1"/>
  <c r="K24" i="1"/>
  <c r="K25" i="1"/>
  <c r="K27" i="1"/>
  <c r="K28" i="1"/>
  <c r="K30" i="1"/>
  <c r="K31" i="1"/>
  <c r="K32" i="1"/>
  <c r="K33" i="1"/>
  <c r="K35" i="1"/>
  <c r="K36" i="1"/>
  <c r="K37" i="1"/>
  <c r="K38" i="1"/>
  <c r="B39" i="1"/>
  <c r="F3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G39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6" i="1"/>
  <c r="H7" i="1"/>
  <c r="H8" i="1"/>
  <c r="H9" i="1"/>
  <c r="H10" i="1"/>
  <c r="H11" i="1"/>
  <c r="H12" i="1"/>
  <c r="H13" i="1"/>
  <c r="H14" i="1"/>
  <c r="H15" i="1"/>
  <c r="H16" i="1"/>
  <c r="H17" i="1"/>
  <c r="H5" i="1"/>
  <c r="K5" i="1"/>
</calcChain>
</file>

<file path=xl/sharedStrings.xml><?xml version="1.0" encoding="utf-8"?>
<sst xmlns="http://schemas.openxmlformats.org/spreadsheetml/2006/main" count="53" uniqueCount="51">
  <si>
    <t>County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</si>
  <si>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</si>
  <si>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</si>
  <si>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</si>
  <si>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</si>
  <si>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</si>
  <si>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</si>
  <si>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</si>
  <si>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</si>
  <si>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</si>
  <si>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</si>
  <si>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</si>
  <si>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</si>
  <si>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</si>
  <si>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</si>
  <si>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</si>
  <si>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</si>
  <si>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</si>
  <si>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</si>
  <si>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</si>
  <si>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</si>
  <si>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</si>
  <si>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</si>
  <si>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</si>
  <si>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</si>
  <si>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</si>
  <si>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N.Central</t>
  </si>
  <si>
    <t>Polk</t>
  </si>
  <si>
    <t>Tillamook</t>
  </si>
  <si>
    <t>Umatilla</t>
  </si>
  <si>
    <t>Union</t>
  </si>
  <si>
    <t>Wallowa</t>
  </si>
  <si>
    <t>Washington</t>
  </si>
  <si>
    <t>Wheeler</t>
  </si>
  <si>
    <t>Yamhill</t>
  </si>
  <si>
    <t>Total</t>
  </si>
  <si>
    <t>Current Funding</t>
  </si>
  <si>
    <t>Column1</t>
  </si>
  <si>
    <t>Column2</t>
  </si>
  <si>
    <t>Column12</t>
  </si>
  <si>
    <t>Population</t>
  </si>
  <si>
    <t xml:space="preserve">Proposal </t>
  </si>
  <si>
    <t>Step 1</t>
  </si>
  <si>
    <t>Step 4</t>
  </si>
  <si>
    <t>Step 2 -per capita</t>
  </si>
  <si>
    <t>$3 million total allocated</t>
  </si>
  <si>
    <t>Step 3**</t>
  </si>
  <si>
    <t>**Unspent $$ would be re-allocated to Step 4 "advanced</t>
  </si>
  <si>
    <t>Step 2- $15K base*</t>
  </si>
  <si>
    <t>*Counties chosen for example only - there is NO knowledge that these LPHAs wil chose, or not choose which step to be in</t>
  </si>
  <si>
    <t>$100,000 rellocated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</si>
</sst>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164" fontId="2" fillId="0" borderId="0" xfId="1" applyNumberFormat="1" applyFont="1"/>
    <xf numFmtId="164" fontId="2" fillId="0" borderId="0" xfId="0" applyNumberFormat="1" applyFont="1"/>
    <xf numFmtId="164" fontId="0" fillId="2" borderId="0" xfId="0" applyNumberFormat="1" applyFill="1"/>
    <xf numFmtId="0" fontId="2" fillId="0" borderId="0" xfId="0" applyNumberFormat="1" applyFont="1"/>
    <xf numFmtId="0" fontId="0" fillId="0" borderId="0" xfId="0" applyNumberFormat="1"/>
    <xf numFmtId="3" fontId="0" fillId="0" borderId="0" xfId="0" applyNumberFormat="1"/>
    <xf numFmtId="164" fontId="3" fillId="0" borderId="0" xfId="0" applyNumberFormat="1" applyFont="1"/>
    <xf numFmtId="164" fontId="3" fillId="0" borderId="0" xfId="1" applyNumberFormat="1" applyFont="1"/>
    <xf numFmtId="0" fontId="3" fillId="0" borderId="0" xfId="0" applyFont="1"/>
    <xf numFmtId="165" fontId="3" fillId="0" borderId="0" xfId="2" applyNumberFormat="1" applyFont="1"/>
    <xf numFmtId="3" fontId="2" fillId="0" borderId="0" xfId="0" applyNumberFormat="1" applyFont="1"/>
    <xf numFmtId="43" fontId="0" fillId="0" borderId="0" xfId="0" applyNumberFormat="1"/>
    <xf numFmtId="43" fontId="2" fillId="0" borderId="0" xfId="0" applyNumberFormat="1" applyFont="1"/>
    <xf numFmtId="3" fontId="3" fillId="0" borderId="0" xfId="0" applyNumberFormat="1" applyFont="1"/>
    <xf numFmtId="43" fontId="3" fillId="0" borderId="0" xfId="0" applyNumberFormat="1" applyFont="1"/>
    <xf numFmtId="164" fontId="0" fillId="3" borderId="0" xfId="0" applyNumberFormat="1" applyFill="1"/>
    <xf numFmtId="3" fontId="0" fillId="3" borderId="0" xfId="0" applyNumberFormat="1" applyFill="1"/>
    <xf numFmtId="164" fontId="0" fillId="3" borderId="0" xfId="1" applyNumberFormat="1" applyFont="1" applyFill="1"/>
    <xf numFmtId="0" fontId="0" fillId="3" borderId="0" xfId="0" applyFill="1"/>
    <xf numFmtId="3" fontId="2" fillId="3" borderId="0" xfId="0" applyNumberFormat="1" applyFont="1" applyFill="1"/>
    <xf numFmtId="43" fontId="2" fillId="3" borderId="0" xfId="0" applyNumberFormat="1" applyFont="1" applyFill="1"/>
    <xf numFmtId="164" fontId="0" fillId="0" borderId="0" xfId="0" applyNumberFormat="1" applyFill="1"/>
    <xf numFmtId="164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 applyAlignment="1"/>
    <xf numFmtId="164" fontId="0" fillId="0" borderId="0" xfId="0" applyNumberFormat="1" applyFill="1" applyAlignment="1">
      <alignment wrapText="1"/>
    </xf>
    <xf numFmtId="164" fontId="0" fillId="0" borderId="0" xfId="0" applyNumberFormat="1" applyAlignment="1">
      <alignment wrapText="1"/>
    </xf>
  </cellXfs>
  <cellStyles count="21">
    <cellStyle name="Comma" xfId="2" builtinId="3"/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5">
    <dxf>
      <numFmt numFmtId="164" formatCode="_(&quot;$&quot;* #,##0_);_(&quot;$&quot;* \(#,##0\);_(&quot;$&quot;* &quot;-&quot;??_);_(@_)"/>
    </dxf>
    <dxf>
      <numFmt numFmtId="0" formatCode="General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C39" totalsRowShown="0" headerRowDxfId="4" dataDxfId="3">
  <autoFilter ref="A1:C39"/>
  <sortState ref="A2:J37">
    <sortCondition ref="A2:A37"/>
  </sortState>
  <tableColumns count="3">
    <tableColumn id="1" name="Column1" dataDxfId="2"/>
    <tableColumn id="10" name="Column12" dataDxfId="1"/>
    <tableColumn id="2" name="Column2" dataDxfId="0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2" zoomScale="150" zoomScaleNormal="150" zoomScalePageLayoutView="150" workbookViewId="0">
      <selection activeCell="M22" sqref="M22"/>
    </sheetView>
  </sheetViews>
  <sheetFormatPr baseColWidth="10" defaultColWidth="8.83203125" defaultRowHeight="14" x14ac:dyDescent="0"/>
  <cols>
    <col min="1" max="1" width="12.1640625" style="2" customWidth="1"/>
    <col min="2" max="2" width="13.83203125" style="2" customWidth="1"/>
    <col min="3" max="3" width="15.33203125" style="2" customWidth="1"/>
    <col min="4" max="4" width="14.33203125" style="1" bestFit="1" customWidth="1"/>
    <col min="5" max="5" width="15.33203125" style="1" bestFit="1" customWidth="1"/>
    <col min="6" max="6" width="18.5" style="6" customWidth="1"/>
    <col min="7" max="7" width="13.83203125" style="2" hidden="1" customWidth="1"/>
    <col min="8" max="9" width="13.83203125" style="2" customWidth="1"/>
    <col min="10" max="10" width="12.33203125" style="2" customWidth="1"/>
    <col min="11" max="11" width="14.33203125" customWidth="1"/>
  </cols>
  <sheetData>
    <row r="1" spans="1:11" hidden="1">
      <c r="A1" s="2" t="s">
        <v>37</v>
      </c>
      <c r="B1" s="2" t="s">
        <v>39</v>
      </c>
      <c r="C1" s="2" t="s">
        <v>38</v>
      </c>
      <c r="D1"/>
      <c r="E1"/>
      <c r="F1"/>
      <c r="G1"/>
      <c r="H1"/>
      <c r="I1"/>
      <c r="J1"/>
    </row>
    <row r="2" spans="1:11">
      <c r="D2"/>
      <c r="E2"/>
      <c r="F2"/>
      <c r="G2"/>
      <c r="H2"/>
      <c r="I2"/>
      <c r="J2"/>
    </row>
    <row r="3" spans="1:11">
      <c r="D3"/>
      <c r="E3" t="s">
        <v>41</v>
      </c>
      <c r="F3" s="15">
        <f>3000000/B39</f>
        <v>0.72444519572094368</v>
      </c>
      <c r="H3" s="15">
        <f>(3000000-F39)/B39</f>
        <v>0.6194006423414069</v>
      </c>
      <c r="I3"/>
      <c r="J3"/>
    </row>
    <row r="4" spans="1:11">
      <c r="A4" s="5" t="s">
        <v>0</v>
      </c>
      <c r="B4" s="7" t="s">
        <v>40</v>
      </c>
      <c r="C4" s="4" t="s">
        <v>36</v>
      </c>
      <c r="D4"/>
      <c r="E4" t="s">
        <v>42</v>
      </c>
      <c r="F4" t="s">
        <v>48</v>
      </c>
      <c r="G4" t="s">
        <v>44</v>
      </c>
      <c r="H4" t="s">
        <v>44</v>
      </c>
      <c r="I4" t="s">
        <v>46</v>
      </c>
      <c r="J4" t="s">
        <v>43</v>
      </c>
      <c r="K4" t="s">
        <v>35</v>
      </c>
    </row>
    <row r="5" spans="1:11" s="3" customFormat="1">
      <c r="A5" s="2" t="s">
        <v>1</v>
      </c>
      <c r="B5" s="9">
        <v>16750</v>
      </c>
      <c r="C5" s="1">
        <f>55492*2</f>
        <v>110984</v>
      </c>
      <c r="E5" s="14">
        <v>35000</v>
      </c>
      <c r="F5" s="16">
        <v>15000</v>
      </c>
      <c r="G5" s="16">
        <f>H$3*B5</f>
        <v>10374.960759218566</v>
      </c>
      <c r="H5" s="16">
        <f>(G5/G$39)*(3000000-F$39)</f>
        <v>10672.208477405509</v>
      </c>
      <c r="I5" s="3">
        <v>100000</v>
      </c>
      <c r="K5" s="16">
        <f>SUM(E5+F5+G5+I5+J5)</f>
        <v>160374.96075921855</v>
      </c>
    </row>
    <row r="6" spans="1:11">
      <c r="A6" s="2" t="s">
        <v>2</v>
      </c>
      <c r="B6" s="9">
        <v>92575</v>
      </c>
      <c r="C6" s="1">
        <f>101943*2</f>
        <v>203886</v>
      </c>
      <c r="D6"/>
      <c r="E6" s="14">
        <v>35000</v>
      </c>
      <c r="F6" s="16">
        <v>15000</v>
      </c>
      <c r="G6" s="16">
        <f>H$3*B6</f>
        <v>57341.014464755746</v>
      </c>
      <c r="H6" s="16">
        <f t="shared" ref="H6:H39" si="0">(G6/G$39)*(3000000-F$39)</f>
        <v>58983.862674377015</v>
      </c>
      <c r="I6">
        <v>100000</v>
      </c>
      <c r="J6">
        <v>200000</v>
      </c>
      <c r="K6" s="16">
        <f t="shared" ref="K6:K38" si="1">SUM(E6+F6+G6+I6+J6)</f>
        <v>407341.01446475578</v>
      </c>
    </row>
    <row r="7" spans="1:11">
      <c r="A7" s="2" t="s">
        <v>3</v>
      </c>
      <c r="B7" s="9">
        <v>413000</v>
      </c>
      <c r="C7" s="1">
        <f>228108*2</f>
        <v>456216</v>
      </c>
      <c r="D7"/>
      <c r="E7" s="14">
        <v>35000</v>
      </c>
      <c r="F7" s="16">
        <v>15000</v>
      </c>
      <c r="G7" s="16">
        <f>H$3*B7</f>
        <v>255812.46528700105</v>
      </c>
      <c r="H7" s="16">
        <f t="shared" si="0"/>
        <v>263141.61798020749</v>
      </c>
      <c r="I7"/>
      <c r="J7"/>
      <c r="K7" s="16">
        <f t="shared" si="1"/>
        <v>305812.46528700105</v>
      </c>
    </row>
    <row r="8" spans="1:11">
      <c r="A8" s="2" t="s">
        <v>4</v>
      </c>
      <c r="B8" s="9">
        <v>38820</v>
      </c>
      <c r="C8" s="1">
        <f>64245*2</f>
        <v>128490</v>
      </c>
      <c r="D8"/>
      <c r="E8" s="14">
        <v>35000</v>
      </c>
      <c r="F8" s="16">
        <v>15000</v>
      </c>
      <c r="G8" s="16">
        <f>H$3*B8</f>
        <v>24045.132935693415</v>
      </c>
      <c r="H8" s="16">
        <f t="shared" si="0"/>
        <v>24734.037796589961</v>
      </c>
      <c r="I8">
        <v>100000</v>
      </c>
      <c r="J8"/>
      <c r="K8" s="16">
        <f t="shared" si="1"/>
        <v>174045.13293569343</v>
      </c>
    </row>
    <row r="9" spans="1:11">
      <c r="A9" s="2" t="s">
        <v>5</v>
      </c>
      <c r="B9" s="9">
        <v>51345</v>
      </c>
      <c r="C9" s="1">
        <f>69433*2</f>
        <v>138866</v>
      </c>
      <c r="D9"/>
      <c r="E9" s="14">
        <v>35000</v>
      </c>
      <c r="F9" s="16"/>
      <c r="G9" s="16"/>
      <c r="H9" s="16">
        <f t="shared" si="0"/>
        <v>0</v>
      </c>
      <c r="I9"/>
      <c r="J9"/>
      <c r="K9" s="16">
        <f t="shared" si="1"/>
        <v>35000</v>
      </c>
    </row>
    <row r="10" spans="1:11">
      <c r="A10" s="2" t="s">
        <v>6</v>
      </c>
      <c r="B10" s="9">
        <v>63310</v>
      </c>
      <c r="C10" s="1">
        <f>90855*2</f>
        <v>181710</v>
      </c>
      <c r="D10"/>
      <c r="E10" s="14">
        <v>35000</v>
      </c>
      <c r="F10" s="16">
        <v>15000</v>
      </c>
      <c r="G10" s="16">
        <f>H$3*B10</f>
        <v>39214.254666634472</v>
      </c>
      <c r="H10" s="16">
        <f t="shared" si="0"/>
        <v>40337.762310718972</v>
      </c>
      <c r="I10"/>
      <c r="J10"/>
      <c r="K10" s="16">
        <f t="shared" si="1"/>
        <v>89214.254666634472</v>
      </c>
    </row>
    <row r="11" spans="1:11">
      <c r="A11" s="2" t="s">
        <v>7</v>
      </c>
      <c r="B11" s="9">
        <v>22105</v>
      </c>
      <c r="C11" s="1">
        <f>57404*2</f>
        <v>114808</v>
      </c>
      <c r="D11"/>
      <c r="E11" s="14">
        <v>35000</v>
      </c>
      <c r="F11" s="16">
        <v>15000</v>
      </c>
      <c r="G11" s="16">
        <f>H$3*B11</f>
        <v>13691.8511989568</v>
      </c>
      <c r="H11" s="16">
        <f t="shared" si="0"/>
        <v>14084.12945630142</v>
      </c>
      <c r="I11">
        <v>100000</v>
      </c>
      <c r="J11"/>
      <c r="K11" s="16">
        <f t="shared" si="1"/>
        <v>163691.85119895681</v>
      </c>
    </row>
    <row r="12" spans="1:11">
      <c r="A12" s="2" t="s">
        <v>8</v>
      </c>
      <c r="B12" s="9">
        <v>22805</v>
      </c>
      <c r="C12" s="1">
        <f>57973*2</f>
        <v>115946</v>
      </c>
      <c r="D12"/>
      <c r="E12" s="14">
        <v>35000</v>
      </c>
      <c r="F12" s="16">
        <v>15000</v>
      </c>
      <c r="G12" s="16">
        <f>H$3*B12</f>
        <v>14125.431648595784</v>
      </c>
      <c r="H12" s="16">
        <f t="shared" si="0"/>
        <v>14530.132198640755</v>
      </c>
      <c r="I12">
        <v>100000</v>
      </c>
      <c r="J12"/>
      <c r="K12" s="16">
        <f t="shared" si="1"/>
        <v>164125.43164859578</v>
      </c>
    </row>
    <row r="13" spans="1:11">
      <c r="A13" s="2" t="s">
        <v>9</v>
      </c>
      <c r="B13" s="9">
        <v>182930</v>
      </c>
      <c r="C13" s="1">
        <f>135081*2</f>
        <v>270162</v>
      </c>
      <c r="D13"/>
      <c r="E13" s="14">
        <v>35000</v>
      </c>
      <c r="F13" s="16">
        <v>15000</v>
      </c>
      <c r="G13" s="16">
        <f>H$3*B13</f>
        <v>113306.95950351357</v>
      </c>
      <c r="H13" s="16">
        <f t="shared" si="0"/>
        <v>116553.25950876357</v>
      </c>
      <c r="I13">
        <v>100000</v>
      </c>
      <c r="J13">
        <f>SUM(J$39/4)</f>
        <v>236250</v>
      </c>
      <c r="K13" s="16">
        <f t="shared" si="1"/>
        <v>499556.95950351359</v>
      </c>
    </row>
    <row r="14" spans="1:11">
      <c r="A14" s="2" t="s">
        <v>10</v>
      </c>
      <c r="B14" s="9">
        <v>111180</v>
      </c>
      <c r="C14" s="1">
        <f>110113*2</f>
        <v>220226</v>
      </c>
      <c r="D14"/>
      <c r="E14" s="14">
        <v>35000</v>
      </c>
      <c r="F14" s="16">
        <v>15000</v>
      </c>
      <c r="G14" s="16">
        <f>H$3*B14</f>
        <v>68864.963415517617</v>
      </c>
      <c r="H14" s="16">
        <f t="shared" si="0"/>
        <v>70837.978418981758</v>
      </c>
      <c r="I14"/>
      <c r="J14"/>
      <c r="K14" s="16">
        <f t="shared" si="1"/>
        <v>118864.96341551762</v>
      </c>
    </row>
    <row r="15" spans="1:11">
      <c r="A15" s="2" t="s">
        <v>11</v>
      </c>
      <c r="B15" s="9">
        <v>7415</v>
      </c>
      <c r="C15" s="1">
        <f>35550*2</f>
        <v>71100</v>
      </c>
      <c r="D15"/>
      <c r="E15" s="14">
        <v>35000</v>
      </c>
      <c r="F15" s="16">
        <v>15000</v>
      </c>
      <c r="G15" s="16">
        <f>H$3*B15</f>
        <v>4592.8557629615325</v>
      </c>
      <c r="H15" s="16">
        <f t="shared" si="0"/>
        <v>4724.4433349230958</v>
      </c>
      <c r="I15"/>
      <c r="J15"/>
      <c r="K15" s="16">
        <f t="shared" si="1"/>
        <v>54592.855762961532</v>
      </c>
    </row>
    <row r="16" spans="1:11">
      <c r="A16" s="2" t="s">
        <v>12</v>
      </c>
      <c r="B16" s="9">
        <v>7360</v>
      </c>
      <c r="C16" s="1">
        <f>35494*2</f>
        <v>70988</v>
      </c>
      <c r="D16"/>
      <c r="E16" s="14">
        <v>35000</v>
      </c>
      <c r="F16" s="16"/>
      <c r="G16" s="16"/>
      <c r="H16" s="16">
        <f t="shared" si="0"/>
        <v>0</v>
      </c>
      <c r="I16">
        <v>100000</v>
      </c>
      <c r="J16"/>
      <c r="K16" s="16">
        <f t="shared" si="1"/>
        <v>135000</v>
      </c>
    </row>
    <row r="17" spans="1:11">
      <c r="A17" s="2" t="s">
        <v>13</v>
      </c>
      <c r="B17" s="9">
        <v>25145</v>
      </c>
      <c r="C17" s="1">
        <f>58701*2</f>
        <v>117402</v>
      </c>
      <c r="D17"/>
      <c r="E17" s="14">
        <v>35000</v>
      </c>
      <c r="F17" s="16">
        <v>15000</v>
      </c>
      <c r="G17" s="16">
        <f>H$3*B17</f>
        <v>15574.829151674676</v>
      </c>
      <c r="H17" s="16">
        <f t="shared" si="0"/>
        <v>16021.055651603672</v>
      </c>
      <c r="I17">
        <v>100000</v>
      </c>
      <c r="J17"/>
      <c r="K17" s="16">
        <f t="shared" si="1"/>
        <v>165574.82915167467</v>
      </c>
    </row>
    <row r="18" spans="1:11">
      <c r="A18" s="2" t="s">
        <v>14</v>
      </c>
      <c r="B18" s="9">
        <v>216900</v>
      </c>
      <c r="C18" s="1">
        <f>151596*2</f>
        <v>303192</v>
      </c>
      <c r="D18"/>
      <c r="E18" s="14">
        <v>35000</v>
      </c>
      <c r="F18" s="16">
        <v>15000</v>
      </c>
      <c r="G18" s="16">
        <f>H$3*B18</f>
        <v>134347.99932385117</v>
      </c>
      <c r="H18" s="16">
        <f t="shared" si="0"/>
        <v>138197.13544771672</v>
      </c>
      <c r="I18">
        <v>100000</v>
      </c>
      <c r="J18"/>
      <c r="K18" s="16">
        <f t="shared" si="1"/>
        <v>284347.9993238512</v>
      </c>
    </row>
    <row r="19" spans="1:11">
      <c r="A19" s="2" t="s">
        <v>15</v>
      </c>
      <c r="B19" s="9">
        <v>23190</v>
      </c>
      <c r="C19" s="1">
        <f>57963*2</f>
        <v>115926</v>
      </c>
      <c r="D19"/>
      <c r="E19" s="14">
        <v>35000</v>
      </c>
      <c r="F19" s="16">
        <v>15000</v>
      </c>
      <c r="G19" s="16">
        <f>H$3*B19</f>
        <v>14363.900895897226</v>
      </c>
      <c r="H19" s="16">
        <f t="shared" si="0"/>
        <v>14775.433706927388</v>
      </c>
      <c r="I19">
        <v>100000</v>
      </c>
      <c r="J19"/>
      <c r="K19" s="16">
        <f t="shared" si="1"/>
        <v>164363.90089589724</v>
      </c>
    </row>
    <row r="20" spans="1:11">
      <c r="A20" s="2" t="s">
        <v>16</v>
      </c>
      <c r="B20" s="9">
        <v>85650</v>
      </c>
      <c r="C20" s="1">
        <f>99363*2</f>
        <v>198726</v>
      </c>
      <c r="D20"/>
      <c r="E20" s="14">
        <v>35000</v>
      </c>
      <c r="F20" s="16">
        <v>15000</v>
      </c>
      <c r="G20" s="16">
        <f>H$3*B20</f>
        <v>53051.665016541505</v>
      </c>
      <c r="H20" s="16">
        <f t="shared" si="0"/>
        <v>54571.621259091458</v>
      </c>
      <c r="I20">
        <v>100000</v>
      </c>
      <c r="J20"/>
      <c r="K20" s="16">
        <f t="shared" si="1"/>
        <v>203051.66501654149</v>
      </c>
    </row>
    <row r="21" spans="1:11">
      <c r="A21" s="2" t="s">
        <v>17</v>
      </c>
      <c r="B21" s="9">
        <v>67690</v>
      </c>
      <c r="C21" s="1">
        <f>92546*2</f>
        <v>185092</v>
      </c>
      <c r="D21"/>
      <c r="E21" s="14">
        <v>35000</v>
      </c>
      <c r="F21" s="16">
        <v>15000</v>
      </c>
      <c r="G21" s="16">
        <f>H$3*B21</f>
        <v>41927.229480089831</v>
      </c>
      <c r="H21" s="16">
        <f t="shared" si="0"/>
        <v>43128.465184213666</v>
      </c>
      <c r="I21">
        <v>100000</v>
      </c>
      <c r="J21"/>
      <c r="K21" s="16">
        <f t="shared" si="1"/>
        <v>191927.22948008982</v>
      </c>
    </row>
    <row r="22" spans="1:11">
      <c r="A22" s="2" t="s">
        <v>18</v>
      </c>
      <c r="B22" s="9">
        <v>8120</v>
      </c>
      <c r="C22" s="1">
        <f>35788*2</f>
        <v>71576</v>
      </c>
      <c r="D22"/>
      <c r="E22" s="14">
        <v>35000</v>
      </c>
      <c r="F22" s="16">
        <v>15000</v>
      </c>
      <c r="G22" s="16">
        <f>H$3*B22</f>
        <v>5029.5332158122237</v>
      </c>
      <c r="H22" s="16">
        <f t="shared" si="0"/>
        <v>5173.6318111362825</v>
      </c>
      <c r="I22"/>
      <c r="J22"/>
      <c r="K22" s="16">
        <f t="shared" si="1"/>
        <v>55029.533215812226</v>
      </c>
    </row>
    <row r="23" spans="1:11">
      <c r="A23" s="2" t="s">
        <v>19</v>
      </c>
      <c r="B23" s="9">
        <v>370600</v>
      </c>
      <c r="C23" s="1">
        <f>213646*2</f>
        <v>427292</v>
      </c>
      <c r="D23"/>
      <c r="E23" s="14">
        <v>35000</v>
      </c>
      <c r="F23" s="16">
        <v>15000</v>
      </c>
      <c r="G23" s="16">
        <f>H$3*B23</f>
        <v>229549.87805172539</v>
      </c>
      <c r="H23" s="16">
        <f t="shared" si="0"/>
        <v>236126.59472993918</v>
      </c>
      <c r="I23"/>
      <c r="J23"/>
      <c r="K23" s="16">
        <f t="shared" si="1"/>
        <v>279549.87805172539</v>
      </c>
    </row>
    <row r="24" spans="1:11">
      <c r="A24" s="2" t="s">
        <v>20</v>
      </c>
      <c r="B24" s="9">
        <v>47960</v>
      </c>
      <c r="C24" s="1">
        <f>68134*2</f>
        <v>136268</v>
      </c>
      <c r="D24"/>
      <c r="E24" s="14">
        <v>35000</v>
      </c>
      <c r="F24" s="16"/>
      <c r="G24" s="16"/>
      <c r="H24" s="16">
        <f t="shared" si="0"/>
        <v>0</v>
      </c>
      <c r="I24"/>
      <c r="J24"/>
      <c r="K24" s="16">
        <f t="shared" si="1"/>
        <v>35000</v>
      </c>
    </row>
    <row r="25" spans="1:11">
      <c r="A25" s="2" t="s">
        <v>21</v>
      </c>
      <c r="B25" s="9">
        <v>124010</v>
      </c>
      <c r="C25" s="1">
        <f>114608*2</f>
        <v>229216</v>
      </c>
      <c r="D25"/>
      <c r="E25" s="14">
        <v>35000</v>
      </c>
      <c r="F25" s="16">
        <v>15000</v>
      </c>
      <c r="G25" s="16">
        <f>H$3*B25</f>
        <v>76811.873656757874</v>
      </c>
      <c r="H25" s="16">
        <f t="shared" si="0"/>
        <v>79012.571539287004</v>
      </c>
      <c r="I25"/>
      <c r="J25"/>
      <c r="K25" s="16">
        <f t="shared" si="1"/>
        <v>126811.87365675787</v>
      </c>
    </row>
    <row r="26" spans="1:11">
      <c r="A26" s="2" t="s">
        <v>22</v>
      </c>
      <c r="B26" s="9">
        <v>31845</v>
      </c>
      <c r="C26" s="1">
        <f>61671*2</f>
        <v>123342</v>
      </c>
      <c r="D26"/>
      <c r="E26" s="14">
        <v>35000</v>
      </c>
      <c r="F26" s="16">
        <v>15000</v>
      </c>
      <c r="G26" s="16">
        <f>H$3*B26</f>
        <v>19724.813455362102</v>
      </c>
      <c r="H26" s="16">
        <f t="shared" si="0"/>
        <v>20289.939042565878</v>
      </c>
      <c r="I26">
        <v>100000</v>
      </c>
      <c r="J26">
        <f>SUM(J$39/4)</f>
        <v>236250</v>
      </c>
      <c r="K26" s="16">
        <f t="shared" si="1"/>
        <v>405974.81345536211</v>
      </c>
    </row>
    <row r="27" spans="1:11">
      <c r="A27" s="2" t="s">
        <v>23</v>
      </c>
      <c r="B27" s="9">
        <v>339200</v>
      </c>
      <c r="C27" s="1">
        <f>200356*2</f>
        <v>400712</v>
      </c>
      <c r="D27"/>
      <c r="E27" s="14">
        <v>35000</v>
      </c>
      <c r="F27" s="16">
        <v>15000</v>
      </c>
      <c r="G27" s="16">
        <f>H$3*B27</f>
        <v>210100.69788220522</v>
      </c>
      <c r="H27" s="16">
        <f t="shared" si="0"/>
        <v>216120.18600214619</v>
      </c>
      <c r="I27"/>
      <c r="J27"/>
      <c r="K27" s="16">
        <f t="shared" si="1"/>
        <v>260100.69788220522</v>
      </c>
    </row>
    <row r="28" spans="1:11">
      <c r="A28" s="2" t="s">
        <v>24</v>
      </c>
      <c r="B28" s="9">
        <v>11890</v>
      </c>
      <c r="C28" s="1">
        <f>37274*2</f>
        <v>74548</v>
      </c>
      <c r="D28"/>
      <c r="E28" s="14">
        <v>35000</v>
      </c>
      <c r="F28" s="16">
        <v>15000</v>
      </c>
      <c r="G28" s="16">
        <f>H$3*B28</f>
        <v>7364.6736374393276</v>
      </c>
      <c r="H28" s="16">
        <f t="shared" si="0"/>
        <v>7575.6751520209855</v>
      </c>
      <c r="I28">
        <v>100000</v>
      </c>
      <c r="J28"/>
      <c r="K28" s="16">
        <f t="shared" si="1"/>
        <v>157364.67363743932</v>
      </c>
    </row>
    <row r="29" spans="1:11">
      <c r="A29" s="2" t="s">
        <v>25</v>
      </c>
      <c r="B29" s="9">
        <v>803000</v>
      </c>
      <c r="C29" s="1">
        <f>400374*2</f>
        <v>800748</v>
      </c>
      <c r="D29"/>
      <c r="E29" s="14">
        <v>35000</v>
      </c>
      <c r="F29" s="16">
        <v>15000</v>
      </c>
      <c r="G29" s="16">
        <f>H$3*B29</f>
        <v>497378.71580014972</v>
      </c>
      <c r="H29" s="16">
        <f t="shared" si="0"/>
        <v>511628.86014069396</v>
      </c>
      <c r="I29">
        <v>100000</v>
      </c>
      <c r="J29">
        <f>SUM(J$39/4)</f>
        <v>236250</v>
      </c>
      <c r="K29" s="16">
        <f t="shared" si="1"/>
        <v>883628.71580014972</v>
      </c>
    </row>
    <row r="30" spans="1:11">
      <c r="A30" s="2" t="s">
        <v>26</v>
      </c>
      <c r="B30" s="9">
        <v>30895</v>
      </c>
      <c r="C30" s="1">
        <f>93619*2</f>
        <v>187238</v>
      </c>
      <c r="D30"/>
      <c r="E30" s="14">
        <v>35000</v>
      </c>
      <c r="F30" s="16">
        <v>15000</v>
      </c>
      <c r="G30" s="16">
        <f>H$3*B30</f>
        <v>19136.382845137767</v>
      </c>
      <c r="H30" s="16">
        <f t="shared" si="0"/>
        <v>19684.649606533923</v>
      </c>
      <c r="I30"/>
      <c r="J30"/>
      <c r="K30" s="16">
        <f t="shared" si="1"/>
        <v>69136.382845137763</v>
      </c>
    </row>
    <row r="31" spans="1:11">
      <c r="A31" s="2" t="s">
        <v>27</v>
      </c>
      <c r="B31" s="9">
        <v>81000</v>
      </c>
      <c r="C31" s="1">
        <f>97490*2</f>
        <v>194980</v>
      </c>
      <c r="D31"/>
      <c r="E31" s="14">
        <v>35000</v>
      </c>
      <c r="F31" s="16">
        <v>15000</v>
      </c>
      <c r="G31" s="16">
        <f>H$3*B31</f>
        <v>50171.452029653956</v>
      </c>
      <c r="H31" s="16">
        <f t="shared" si="0"/>
        <v>51608.888756408727</v>
      </c>
      <c r="I31"/>
      <c r="J31"/>
      <c r="K31" s="16">
        <f t="shared" si="1"/>
        <v>100171.45202965396</v>
      </c>
    </row>
    <row r="32" spans="1:11">
      <c r="A32" s="2" t="s">
        <v>28</v>
      </c>
      <c r="B32" s="9">
        <v>26175</v>
      </c>
      <c r="C32" s="1">
        <f>59678*2</f>
        <v>119356</v>
      </c>
      <c r="D32"/>
      <c r="E32" s="14">
        <v>35000</v>
      </c>
      <c r="F32" s="16">
        <v>15000</v>
      </c>
      <c r="G32" s="16">
        <f>H$3*B32</f>
        <v>16212.811813286326</v>
      </c>
      <c r="H32" s="16">
        <f t="shared" si="0"/>
        <v>16677.316829617266</v>
      </c>
      <c r="I32">
        <v>100000</v>
      </c>
      <c r="J32"/>
      <c r="K32" s="16">
        <f t="shared" si="1"/>
        <v>166212.81181328633</v>
      </c>
    </row>
    <row r="33" spans="1:11">
      <c r="A33" s="2" t="s">
        <v>29</v>
      </c>
      <c r="B33" s="9">
        <v>80500</v>
      </c>
      <c r="C33" s="1">
        <f>97490*2</f>
        <v>194980</v>
      </c>
      <c r="D33"/>
      <c r="E33" s="14">
        <v>35000</v>
      </c>
      <c r="F33" s="16">
        <v>15000</v>
      </c>
      <c r="G33" s="16">
        <f>H$3*B33</f>
        <v>49861.751708483258</v>
      </c>
      <c r="H33" s="16">
        <f t="shared" si="0"/>
        <v>51290.31536902349</v>
      </c>
      <c r="I33">
        <v>100000</v>
      </c>
      <c r="J33"/>
      <c r="K33" s="16">
        <f t="shared" si="1"/>
        <v>199861.75170848327</v>
      </c>
    </row>
    <row r="34" spans="1:11">
      <c r="A34" s="2" t="s">
        <v>30</v>
      </c>
      <c r="B34" s="9">
        <v>26900</v>
      </c>
      <c r="C34" s="1">
        <f>59678*2</f>
        <v>119356</v>
      </c>
      <c r="D34"/>
      <c r="E34" s="14">
        <v>35000</v>
      </c>
      <c r="F34" s="16">
        <v>15000</v>
      </c>
      <c r="G34" s="16">
        <f>H$3*B34</f>
        <v>16661.877278983844</v>
      </c>
      <c r="H34" s="16">
        <f t="shared" si="0"/>
        <v>17139.248241325859</v>
      </c>
      <c r="I34">
        <v>100000</v>
      </c>
      <c r="J34">
        <f>SUM(J39/4)</f>
        <v>236250</v>
      </c>
      <c r="K34" s="16">
        <f t="shared" si="1"/>
        <v>402911.87727898383</v>
      </c>
    </row>
    <row r="35" spans="1:11">
      <c r="A35" s="19" t="s">
        <v>31</v>
      </c>
      <c r="B35" s="20">
        <v>7195</v>
      </c>
      <c r="C35" s="21">
        <f>35414*2</f>
        <v>70828</v>
      </c>
      <c r="D35" s="22"/>
      <c r="E35" s="23"/>
      <c r="F35" s="24"/>
      <c r="G35" s="24"/>
      <c r="H35" s="16">
        <f t="shared" si="0"/>
        <v>0</v>
      </c>
      <c r="I35" s="22"/>
      <c r="J35" s="22"/>
      <c r="K35" s="16">
        <f t="shared" si="1"/>
        <v>0</v>
      </c>
    </row>
    <row r="36" spans="1:11">
      <c r="A36" s="2" t="s">
        <v>32</v>
      </c>
      <c r="B36" s="9">
        <v>595860</v>
      </c>
      <c r="C36" s="1">
        <f>299168*2</f>
        <v>598336</v>
      </c>
      <c r="D36"/>
      <c r="E36" s="14">
        <v>35000</v>
      </c>
      <c r="F36" s="16">
        <v>15000</v>
      </c>
      <c r="G36" s="16">
        <f>H$3*B36</f>
        <v>369076.06674555072</v>
      </c>
      <c r="H36" s="16">
        <f t="shared" si="0"/>
        <v>379650.27721473709</v>
      </c>
      <c r="I36">
        <v>100000</v>
      </c>
      <c r="J36"/>
      <c r="K36" s="16">
        <f t="shared" si="1"/>
        <v>519076.06674555072</v>
      </c>
    </row>
    <row r="37" spans="1:11">
      <c r="A37" s="2" t="s">
        <v>33</v>
      </c>
      <c r="B37" s="9">
        <v>1480</v>
      </c>
      <c r="C37" s="1">
        <f>16843*2</f>
        <v>33686</v>
      </c>
      <c r="D37"/>
      <c r="E37" s="14">
        <v>35000</v>
      </c>
      <c r="F37" s="16"/>
      <c r="G37" s="16"/>
      <c r="H37" s="16">
        <f t="shared" si="0"/>
        <v>0</v>
      </c>
      <c r="I37" s="9"/>
      <c r="J37"/>
      <c r="K37" s="16">
        <f t="shared" si="1"/>
        <v>35000</v>
      </c>
    </row>
    <row r="38" spans="1:11">
      <c r="A38" s="2" t="s">
        <v>34</v>
      </c>
      <c r="B38" s="9">
        <v>106300</v>
      </c>
      <c r="C38" s="1">
        <f>107535*2</f>
        <v>215070</v>
      </c>
      <c r="D38"/>
      <c r="E38" s="14">
        <v>35000</v>
      </c>
      <c r="F38" s="16">
        <v>15000</v>
      </c>
      <c r="G38" s="16">
        <f>H$3*B38</f>
        <v>65842.28828089156</v>
      </c>
      <c r="H38" s="16">
        <f t="shared" si="0"/>
        <v>67728.702158101834</v>
      </c>
      <c r="I38" s="9"/>
      <c r="J38"/>
      <c r="K38" s="16">
        <f t="shared" si="1"/>
        <v>115842.28828089156</v>
      </c>
    </row>
    <row r="39" spans="1:11" s="12" customFormat="1">
      <c r="A39" s="10" t="s">
        <v>35</v>
      </c>
      <c r="B39" s="13">
        <f>SUBTOTAL(109,B4:B38)</f>
        <v>4141100</v>
      </c>
      <c r="C39" s="11">
        <f>SUBTOTAL(109,C4:C38)</f>
        <v>7001252</v>
      </c>
      <c r="E39" s="17">
        <f t="shared" ref="E39:J39" si="2">SUM(E5:E38)</f>
        <v>1155000</v>
      </c>
      <c r="F39" s="18">
        <f t="shared" si="2"/>
        <v>435000</v>
      </c>
      <c r="G39" s="18">
        <f t="shared" si="2"/>
        <v>2493558.3299123421</v>
      </c>
      <c r="H39" s="16">
        <f t="shared" si="0"/>
        <v>2565000</v>
      </c>
      <c r="I39" s="12">
        <f t="shared" si="2"/>
        <v>1900000</v>
      </c>
      <c r="J39" s="12">
        <v>945000</v>
      </c>
      <c r="K39" s="18">
        <f>SUM(J39+I39+H39+F39+E39)</f>
        <v>7000000</v>
      </c>
    </row>
    <row r="40" spans="1:11" ht="33" customHeight="1">
      <c r="B40" s="8"/>
      <c r="F40" s="27" t="s">
        <v>45</v>
      </c>
      <c r="G40" s="27"/>
      <c r="H40" s="26"/>
      <c r="J40" s="30" t="s">
        <v>50</v>
      </c>
      <c r="K40" s="15">
        <f>SUM(K5:K38)</f>
        <v>7128558.3299123412</v>
      </c>
    </row>
    <row r="41" spans="1:11" ht="88" customHeight="1">
      <c r="F41" s="29" t="s">
        <v>49</v>
      </c>
      <c r="G41" s="26"/>
      <c r="H41" s="26"/>
      <c r="I41" s="30" t="s">
        <v>47</v>
      </c>
    </row>
    <row r="42" spans="1:11">
      <c r="F42" s="25"/>
      <c r="G42" s="28"/>
      <c r="H42" s="28"/>
    </row>
    <row r="43" spans="1:11">
      <c r="F43" s="25"/>
    </row>
    <row r="44" spans="1:11">
      <c r="F44" s="25"/>
    </row>
    <row r="45" spans="1:11">
      <c r="F45" s="25"/>
    </row>
    <row r="46" spans="1:11">
      <c r="F46" s="25"/>
    </row>
    <row r="47" spans="1:11">
      <c r="F47" s="25"/>
    </row>
    <row r="48" spans="1:11">
      <c r="F48" s="25"/>
    </row>
    <row r="49" spans="6:6">
      <c r="F49" s="25"/>
    </row>
    <row r="50" spans="6:6">
      <c r="F50" s="25"/>
    </row>
    <row r="51" spans="6:6">
      <c r="F51" s="25"/>
    </row>
    <row r="52" spans="6:6">
      <c r="F52" s="25"/>
    </row>
    <row r="53" spans="6:6">
      <c r="F53" s="25"/>
    </row>
    <row r="54" spans="6:6">
      <c r="F54" s="25"/>
    </row>
    <row r="55" spans="6:6">
      <c r="F55" s="25"/>
    </row>
    <row r="56" spans="6:6">
      <c r="F56" s="25"/>
    </row>
    <row r="57" spans="6:6">
      <c r="F57" s="25"/>
    </row>
    <row r="58" spans="6:6">
      <c r="F58" s="25"/>
    </row>
    <row r="59" spans="6:6">
      <c r="F59" s="25"/>
    </row>
    <row r="60" spans="6:6">
      <c r="F60" s="25"/>
    </row>
  </sheetData>
  <mergeCells count="1">
    <mergeCell ref="F40:G40"/>
  </mergeCells>
  <pageMargins left="0.7" right="0.7" top="0.75" bottom="0.75" header="0.3" footer="0.3"/>
  <pageSetup orientation="landscape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Morgan D. Cowling</cp:lastModifiedBy>
  <cp:lastPrinted>2019-01-28T16:14:34Z</cp:lastPrinted>
  <dcterms:created xsi:type="dcterms:W3CDTF">2019-01-28T04:59:24Z</dcterms:created>
  <dcterms:modified xsi:type="dcterms:W3CDTF">2019-03-04T04:46:39Z</dcterms:modified>
</cp:coreProperties>
</file>