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oha-my.sharepoint.com/personal/anthony_j_fields_oha_oregon_gov/Documents/Desktop/Agenda - PE 50 Meeting/CLHO-EH/"/>
    </mc:Choice>
  </mc:AlternateContent>
  <xr:revisionPtr revIDLastSave="80" documentId="8_{B8FAD2A9-D20B-45D9-B00C-175992AAFD92}" xr6:coauthVersionLast="47" xr6:coauthVersionMax="47" xr10:uidLastSave="{8035C317-63E7-4D50-BFB7-12B09E234A25}"/>
  <bookViews>
    <workbookView xWindow="23880" yWindow="-120" windowWidth="24240" windowHeight="13140" xr2:uid="{00000000-000D-0000-FFFF-FFFF00000000}"/>
  </bookViews>
  <sheets>
    <sheet name="Partner Funding Formula" sheetId="7" r:id="rId1"/>
    <sheet name="2007 Data" sheetId="5" r:id="rId2"/>
    <sheet name="2017 Update " sheetId="3" r:id="rId3"/>
    <sheet name="2017 Reference Data" sheetId="2" r:id="rId4"/>
    <sheet name="2025 Update" sheetId="1" r:id="rId5"/>
    <sheet name="2025 Reference Data" sheetId="4" r:id="rId6"/>
    <sheet name="Partner Data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7" l="1"/>
  <c r="H27" i="7"/>
  <c r="G27" i="7"/>
  <c r="D27" i="7"/>
  <c r="C27" i="7"/>
  <c r="H25" i="7"/>
  <c r="G25" i="7"/>
  <c r="D25" i="7"/>
  <c r="C25" i="7"/>
  <c r="I24" i="7"/>
  <c r="E24" i="7"/>
  <c r="K24" i="7" s="1"/>
  <c r="I23" i="7"/>
  <c r="E23" i="7"/>
  <c r="I22" i="7"/>
  <c r="E22" i="7"/>
  <c r="I21" i="7"/>
  <c r="E21" i="7"/>
  <c r="K21" i="7" s="1"/>
  <c r="I20" i="7"/>
  <c r="E20" i="7"/>
  <c r="I19" i="7"/>
  <c r="E19" i="7"/>
  <c r="I18" i="7"/>
  <c r="E18" i="7"/>
  <c r="I17" i="7"/>
  <c r="E17" i="7"/>
  <c r="K17" i="7" s="1"/>
  <c r="I16" i="7"/>
  <c r="E16" i="7"/>
  <c r="I15" i="7"/>
  <c r="E15" i="7"/>
  <c r="K15" i="7" s="1"/>
  <c r="I14" i="7"/>
  <c r="E14" i="7"/>
  <c r="I13" i="7"/>
  <c r="E13" i="7"/>
  <c r="K13" i="7" s="1"/>
  <c r="I12" i="7"/>
  <c r="E12" i="7"/>
  <c r="I11" i="7"/>
  <c r="E11" i="7"/>
  <c r="K11" i="7" s="1"/>
  <c r="I10" i="7"/>
  <c r="E10" i="7"/>
  <c r="I9" i="7"/>
  <c r="E9" i="7"/>
  <c r="I8" i="7"/>
  <c r="E8" i="7"/>
  <c r="I7" i="7"/>
  <c r="E7" i="7"/>
  <c r="I6" i="7"/>
  <c r="E6" i="7"/>
  <c r="I5" i="7"/>
  <c r="E5" i="7"/>
  <c r="I4" i="7"/>
  <c r="E4" i="7"/>
  <c r="I3" i="7"/>
  <c r="E3" i="7"/>
  <c r="D4" i="5"/>
  <c r="D5" i="5" s="1"/>
  <c r="D6" i="5" s="1"/>
  <c r="D7" i="5" s="1"/>
  <c r="D8" i="5" s="1"/>
  <c r="D9" i="5" s="1"/>
  <c r="D14" i="3"/>
  <c r="D15" i="3" s="1"/>
  <c r="D16" i="3" s="1"/>
  <c r="D17" i="3" s="1"/>
  <c r="D18" i="3" s="1"/>
  <c r="D19" i="3" s="1"/>
  <c r="D4" i="3"/>
  <c r="D5" i="3" s="1"/>
  <c r="D6" i="3" s="1"/>
  <c r="D7" i="3" s="1"/>
  <c r="D8" i="3" s="1"/>
  <c r="D9" i="3" s="1"/>
  <c r="D23" i="1"/>
  <c r="D24" i="1" s="1"/>
  <c r="D25" i="1" s="1"/>
  <c r="D26" i="1" s="1"/>
  <c r="D3" i="1"/>
  <c r="D4" i="1" s="1"/>
  <c r="D5" i="1" s="1"/>
  <c r="D6" i="1" s="1"/>
  <c r="D13" i="1"/>
  <c r="D14" i="1" s="1"/>
  <c r="D15" i="1" s="1"/>
  <c r="D16" i="1" s="1"/>
  <c r="D17" i="1" s="1"/>
  <c r="D18" i="1" s="1"/>
  <c r="K10" i="7" l="1"/>
  <c r="K3" i="7"/>
  <c r="K22" i="7"/>
  <c r="K5" i="7"/>
  <c r="K14" i="7"/>
  <c r="K6" i="7"/>
  <c r="J15" i="7"/>
  <c r="J5" i="7"/>
  <c r="K9" i="7"/>
  <c r="K18" i="7"/>
  <c r="I25" i="7"/>
  <c r="J8" i="7" s="1"/>
  <c r="K16" i="7"/>
  <c r="K20" i="7"/>
  <c r="K7" i="7"/>
  <c r="I27" i="7"/>
  <c r="J19" i="7"/>
  <c r="J17" i="7"/>
  <c r="J24" i="7"/>
  <c r="J10" i="7"/>
  <c r="J16" i="7"/>
  <c r="J21" i="7"/>
  <c r="K8" i="7"/>
  <c r="K12" i="7"/>
  <c r="K19" i="7"/>
  <c r="K23" i="7"/>
  <c r="E27" i="7"/>
  <c r="K4" i="7"/>
  <c r="E25" i="7"/>
  <c r="J7" i="7"/>
  <c r="J18" i="7"/>
  <c r="J22" i="7"/>
  <c r="D27" i="1"/>
  <c r="D28" i="1" s="1"/>
  <c r="D7" i="1"/>
  <c r="D8" i="1" s="1"/>
  <c r="J14" i="7" l="1"/>
  <c r="J13" i="7"/>
  <c r="J11" i="7"/>
  <c r="J6" i="7"/>
  <c r="J3" i="7"/>
  <c r="J20" i="7"/>
  <c r="J9" i="7"/>
  <c r="F10" i="7"/>
  <c r="L10" i="7" s="1"/>
  <c r="F15" i="7"/>
  <c r="L15" i="7" s="1"/>
  <c r="F11" i="7"/>
  <c r="L11" i="7" s="1"/>
  <c r="J12" i="7"/>
  <c r="J23" i="7"/>
  <c r="J4" i="7"/>
  <c r="F4" i="7"/>
  <c r="L4" i="7" s="1"/>
  <c r="M4" i="7" s="1"/>
  <c r="K27" i="7"/>
  <c r="F7" i="7"/>
  <c r="L7" i="7" s="1"/>
  <c r="M7" i="7" s="1"/>
  <c r="F14" i="7"/>
  <c r="F3" i="7"/>
  <c r="F12" i="7"/>
  <c r="L12" i="7" s="1"/>
  <c r="F6" i="7"/>
  <c r="L6" i="7" s="1"/>
  <c r="M6" i="7" s="1"/>
  <c r="F22" i="7"/>
  <c r="L22" i="7" s="1"/>
  <c r="M22" i="7" s="1"/>
  <c r="F23" i="7"/>
  <c r="K25" i="7"/>
  <c r="L14" i="7"/>
  <c r="F20" i="7"/>
  <c r="F16" i="7"/>
  <c r="L16" i="7" s="1"/>
  <c r="F9" i="7"/>
  <c r="F24" i="7"/>
  <c r="L24" i="7" s="1"/>
  <c r="F13" i="7"/>
  <c r="L13" i="7" s="1"/>
  <c r="F5" i="7"/>
  <c r="L5" i="7" s="1"/>
  <c r="F8" i="7"/>
  <c r="L8" i="7" s="1"/>
  <c r="F21" i="7"/>
  <c r="L21" i="7" s="1"/>
  <c r="F17" i="7"/>
  <c r="L17" i="7" s="1"/>
  <c r="F19" i="7"/>
  <c r="L19" i="7" s="1"/>
  <c r="F18" i="7"/>
  <c r="L18" i="7" s="1"/>
  <c r="J25" i="7" l="1"/>
  <c r="J27" i="7"/>
  <c r="L9" i="7"/>
  <c r="L3" i="7"/>
  <c r="L27" i="7" s="1"/>
  <c r="L20" i="7"/>
  <c r="M20" i="7" s="1"/>
  <c r="L23" i="7"/>
  <c r="M23" i="7" s="1"/>
  <c r="M15" i="7"/>
  <c r="M11" i="7"/>
  <c r="F25" i="7"/>
  <c r="M12" i="7"/>
  <c r="M13" i="7"/>
  <c r="M19" i="7"/>
  <c r="M21" i="7"/>
  <c r="M5" i="7"/>
  <c r="M14" i="7"/>
  <c r="M24" i="7"/>
  <c r="M16" i="7"/>
  <c r="M17" i="7"/>
  <c r="M10" i="7"/>
  <c r="M8" i="7"/>
  <c r="M18" i="7"/>
  <c r="M9" i="7"/>
  <c r="F27" i="7"/>
  <c r="M3" i="7" l="1"/>
  <c r="L25" i="7"/>
  <c r="M25" i="7"/>
</calcChain>
</file>

<file path=xl/sharedStrings.xml><?xml version="1.0" encoding="utf-8"?>
<sst xmlns="http://schemas.openxmlformats.org/spreadsheetml/2006/main" count="297" uniqueCount="201">
  <si>
    <t>X x12 months</t>
  </si>
  <si>
    <t>Services &amp; supplies</t>
  </si>
  <si>
    <t>Cost Allocation</t>
  </si>
  <si>
    <t xml:space="preserve">Supervision (10:1) </t>
  </si>
  <si>
    <t>per month</t>
  </si>
  <si>
    <t>Annual</t>
  </si>
  <si>
    <t>Salary &amp; benefits</t>
  </si>
  <si>
    <t>Supervision (10:1)</t>
  </si>
  <si>
    <t>OAH</t>
  </si>
  <si>
    <t>C8503</t>
  </si>
  <si>
    <t>B</t>
  </si>
  <si>
    <t>P</t>
  </si>
  <si>
    <t>4641 </t>
  </si>
  <si>
    <t>4860 </t>
  </si>
  <si>
    <t>5095 </t>
  </si>
  <si>
    <t>5343 </t>
  </si>
  <si>
    <t>5608 </t>
  </si>
  <si>
    <t>5884 </t>
  </si>
  <si>
    <t>6166 </t>
  </si>
  <si>
    <t>6470 </t>
  </si>
  <si>
    <t>6780 </t>
  </si>
  <si>
    <t>01-DEC-16 </t>
  </si>
  <si>
    <t xml:space="preserve">NRS3 </t>
  </si>
  <si>
    <t>Rdc</t>
  </si>
  <si>
    <t>Pdc</t>
  </si>
  <si>
    <t>Pos Id</t>
  </si>
  <si>
    <t>Empl Id</t>
  </si>
  <si>
    <t>Empl Name</t>
  </si>
  <si>
    <t>Tposn Repr Cd</t>
  </si>
  <si>
    <t>Tposn Srvc Type</t>
  </si>
  <si>
    <t>Tposn Class No</t>
  </si>
  <si>
    <t>Tposn Pay Rng Cd</t>
  </si>
  <si>
    <t>Tposn Pay Rng Sfx</t>
  </si>
  <si>
    <t>Pics Repr Cd</t>
  </si>
  <si>
    <t>Pics Srvc Type</t>
  </si>
  <si>
    <t>Pics Class No</t>
  </si>
  <si>
    <t>Pics Pay Rng Cd</t>
  </si>
  <si>
    <t>Pics Pay Rng Sfx</t>
  </si>
  <si>
    <t>Class Title</t>
  </si>
  <si>
    <t>Temhist Woc Repr Cd</t>
  </si>
  <si>
    <t>Woc Srvc Type</t>
  </si>
  <si>
    <t>Woc Class No</t>
  </si>
  <si>
    <t>Temhist Woc Rng Cd</t>
  </si>
  <si>
    <t>Temhist Woc Rng Sfx</t>
  </si>
  <si>
    <t>Pay Opt Cd</t>
  </si>
  <si>
    <t>Rng Opt Cd</t>
  </si>
  <si>
    <t>Temhist Hol Pkg Cd</t>
  </si>
  <si>
    <t>Recog Srvc Dt</t>
  </si>
  <si>
    <t>Temhist Srvc Score Dt</t>
  </si>
  <si>
    <t>Sal Elig Dt</t>
  </si>
  <si>
    <t>Merit Rt Dt</t>
  </si>
  <si>
    <t>Trl Srvc End Dt</t>
  </si>
  <si>
    <t>Temhist Appt Dt</t>
  </si>
  <si>
    <t>Separ Dt</t>
  </si>
  <si>
    <t>Base Rt</t>
  </si>
  <si>
    <t>Pay Basis Cd</t>
  </si>
  <si>
    <t>Pay Rt</t>
  </si>
  <si>
    <t>Diffr Type 1</t>
  </si>
  <si>
    <t>Diffr Cd 1</t>
  </si>
  <si>
    <t>Diffr Amt 1</t>
  </si>
  <si>
    <t>Diffr Type 2</t>
  </si>
  <si>
    <t>Diffr Cd 2</t>
  </si>
  <si>
    <t>Diffr Amt 2</t>
  </si>
  <si>
    <t>Diffr Type 3</t>
  </si>
  <si>
    <t>Diffr Cd 3</t>
  </si>
  <si>
    <t>Diffr Amt 3</t>
  </si>
  <si>
    <t>Step Cd</t>
  </si>
  <si>
    <t>Off Step Cd</t>
  </si>
  <si>
    <t>At Max Cd</t>
  </si>
  <si>
    <t>Empl Stat Cd</t>
  </si>
  <si>
    <t>Fill Stat Cd</t>
  </si>
  <si>
    <t>Appt Type</t>
  </si>
  <si>
    <t>Fp Cd</t>
  </si>
  <si>
    <t>Fp Pct</t>
  </si>
  <si>
    <t>Pos Typ</t>
  </si>
  <si>
    <t>Dblfill Reas Cd</t>
  </si>
  <si>
    <t>Temhist Temp Reas Cd</t>
  </si>
  <si>
    <t>Flsa Cd</t>
  </si>
  <si>
    <t>Ot Cd</t>
  </si>
  <si>
    <t>Division</t>
  </si>
  <si>
    <t>Sectiontitle Txt</t>
  </si>
  <si>
    <t>Rdcdesc Txt</t>
  </si>
  <si>
    <t>Sda Txt</t>
  </si>
  <si>
    <t>Program Txt</t>
  </si>
  <si>
    <t>Fix Cc 1</t>
  </si>
  <si>
    <t>Pos Pct 1</t>
  </si>
  <si>
    <t>Fix Cc 2</t>
  </si>
  <si>
    <t>Pos Pct 2</t>
  </si>
  <si>
    <t>Fix Cc 3</t>
  </si>
  <si>
    <t>Pos Pct 3</t>
  </si>
  <si>
    <t>Fix Cc 4</t>
  </si>
  <si>
    <t>Pos Pct 4</t>
  </si>
  <si>
    <t>Pos Fte</t>
  </si>
  <si>
    <t>Pos Mo</t>
  </si>
  <si>
    <t>Pics Splt Oth</t>
  </si>
  <si>
    <t>Pics Splt Fed</t>
  </si>
  <si>
    <t>Pics Splt Gen</t>
  </si>
  <si>
    <t>Pics Splt Nlm</t>
  </si>
  <si>
    <t>Phasein Dt</t>
  </si>
  <si>
    <t>Pics Total Expir Dte</t>
  </si>
  <si>
    <t>513</t>
  </si>
  <si>
    <t>59861</t>
  </si>
  <si>
    <t>1003667</t>
  </si>
  <si>
    <t xml:space="preserve">OAH </t>
  </si>
  <si>
    <t>C</t>
  </si>
  <si>
    <t xml:space="preserve">8503 </t>
  </si>
  <si>
    <t>28</t>
  </si>
  <si>
    <t xml:space="preserve"> </t>
  </si>
  <si>
    <t xml:space="preserve">NATURAL RESOURCE SPECIALIST 3 </t>
  </si>
  <si>
    <t xml:space="preserve">    </t>
  </si>
  <si>
    <t xml:space="preserve">     </t>
  </si>
  <si>
    <t xml:space="preserve">  </t>
  </si>
  <si>
    <t>O</t>
  </si>
  <si>
    <t>S</t>
  </si>
  <si>
    <t>LWD</t>
  </si>
  <si>
    <t xml:space="preserve">   </t>
  </si>
  <si>
    <t>09</t>
  </si>
  <si>
    <t>N</t>
  </si>
  <si>
    <t>M</t>
  </si>
  <si>
    <t>R</t>
  </si>
  <si>
    <t>F</t>
  </si>
  <si>
    <t>PF</t>
  </si>
  <si>
    <t>Y</t>
  </si>
  <si>
    <t>PHD</t>
  </si>
  <si>
    <t>Center for Health Protection</t>
  </si>
  <si>
    <t>Drinking Water Program, Technical Services Unit, Region 1</t>
  </si>
  <si>
    <t>195128350204</t>
  </si>
  <si>
    <t xml:space="preserve">            </t>
  </si>
  <si>
    <t>http://www.oregon.gov/Pages/cgi-bin/ccrt.aspx?pg=rate&amp;sec1=8503</t>
  </si>
  <si>
    <t>NRS3 Option B (Step 9) 11-2017</t>
  </si>
  <si>
    <t>per hour</t>
  </si>
  <si>
    <r>
      <t xml:space="preserve">Services &amp; supplies ($5672.00) </t>
    </r>
    <r>
      <rPr>
        <b/>
        <sz val="11"/>
        <color theme="4"/>
        <rFont val="Calibri"/>
        <family val="2"/>
        <scheme val="minor"/>
      </rPr>
      <t>OLD NUMBER</t>
    </r>
  </si>
  <si>
    <r>
      <t xml:space="preserve">Salary and Benefits x 1.49 (Salary and benefits) </t>
    </r>
    <r>
      <rPr>
        <b/>
        <sz val="11"/>
        <color theme="4"/>
        <rFont val="Calibri"/>
        <family val="2"/>
        <scheme val="minor"/>
      </rPr>
      <t>OLD NUMBER</t>
    </r>
  </si>
  <si>
    <t>/1640 work hours per year (as per Food Program)</t>
  </si>
  <si>
    <t>EHS3 (Step 9) 07-2007</t>
  </si>
  <si>
    <t>Old Formula Data</t>
  </si>
  <si>
    <t>Updated Formula</t>
  </si>
  <si>
    <t xml:space="preserve">NRS3 (OAH /  8503 / B / P / SR28) </t>
  </si>
  <si>
    <t xml:space="preserve">Step 10 </t>
  </si>
  <si>
    <t>Original Data Set / 2007</t>
  </si>
  <si>
    <t>NRS3 Data / 2017</t>
  </si>
  <si>
    <t>NRS3 Data 01/2025</t>
  </si>
  <si>
    <t>-</t>
  </si>
  <si>
    <t>REPR</t>
  </si>
  <si>
    <t>Class</t>
  </si>
  <si>
    <t>Pay Opt</t>
  </si>
  <si>
    <t>Range Opt</t>
  </si>
  <si>
    <t>Salary Range</t>
  </si>
  <si>
    <t>Rate 1</t>
  </si>
  <si>
    <t>Rate 2</t>
  </si>
  <si>
    <t>Rate 3</t>
  </si>
  <si>
    <t>Rate 4</t>
  </si>
  <si>
    <t>Rate 5</t>
  </si>
  <si>
    <t>Rate 6</t>
  </si>
  <si>
    <t>Rate 7</t>
  </si>
  <si>
    <t>Rate 8</t>
  </si>
  <si>
    <t>Rate 9</t>
  </si>
  <si>
    <t>Rate 10</t>
  </si>
  <si>
    <t>Rate 11</t>
  </si>
  <si>
    <t>Rate 12</t>
  </si>
  <si>
    <t>Reference Data (NRS3 effective Jan 2025)</t>
  </si>
  <si>
    <t>https://apps.oregon.gov/DAS/Classification-Compensation/JobProfile/Title/NaturalResourceSpecialist3/JobProfileCode/8503/Category/NaturalResources/Salary</t>
  </si>
  <si>
    <t>January 2025 data</t>
  </si>
  <si>
    <t>COUNTY</t>
  </si>
  <si>
    <t>CWS &lt; 3300 pop (GW +SWP)</t>
  </si>
  <si>
    <t>NTNCWS</t>
  </si>
  <si>
    <t>TOTAL CWS + NTNCWS</t>
  </si>
  <si>
    <r>
      <t xml:space="preserve">% OF TOTAL CWS + NTNCWS </t>
    </r>
    <r>
      <rPr>
        <b/>
        <sz val="12"/>
        <rFont val="Arial"/>
        <family val="2"/>
      </rPr>
      <t>(A)</t>
    </r>
  </si>
  <si>
    <t>TNCWS</t>
  </si>
  <si>
    <t>NON-EPA PUBLIC SYSTEMS</t>
  </si>
  <si>
    <t>TOTAL TNCWS + NON-EPA PUBLIC SYSTEMS</t>
  </si>
  <si>
    <r>
      <t xml:space="preserve">% OF TNCWS + NON-EPA PUBLIC SYSTEMS </t>
    </r>
    <r>
      <rPr>
        <b/>
        <sz val="12"/>
        <rFont val="Arial"/>
        <family val="2"/>
      </rPr>
      <t>(B)</t>
    </r>
  </si>
  <si>
    <t>TOTAL PUBLIC WATER SYSTEMS</t>
  </si>
  <si>
    <r>
      <t xml:space="preserve">% OF AVAILABLE FUNDING USING ALLOCATION FORMULA </t>
    </r>
    <r>
      <rPr>
        <b/>
        <sz val="12"/>
        <rFont val="Arial"/>
        <family val="2"/>
      </rPr>
      <t xml:space="preserve">(0.6A+0.4B) </t>
    </r>
  </si>
  <si>
    <t>BENTON</t>
  </si>
  <si>
    <t>CLACKAMAS</t>
  </si>
  <si>
    <t>COLUMBIA</t>
  </si>
  <si>
    <t>COOS</t>
  </si>
  <si>
    <t>CROOK</t>
  </si>
  <si>
    <t>DESCHUTES</t>
  </si>
  <si>
    <t>DOUGLAS</t>
  </si>
  <si>
    <t>HOOD RIVER</t>
  </si>
  <si>
    <t>JACKSON</t>
  </si>
  <si>
    <t>JEFFERSON</t>
  </si>
  <si>
    <t>JOSEPHINE</t>
  </si>
  <si>
    <t>KLAMATH</t>
  </si>
  <si>
    <t>LANE</t>
  </si>
  <si>
    <t>LINN</t>
  </si>
  <si>
    <t>MARION</t>
  </si>
  <si>
    <t>MULTNOMAH</t>
  </si>
  <si>
    <t>NCPHD</t>
  </si>
  <si>
    <t>POLK</t>
  </si>
  <si>
    <t>TILLAMOOK</t>
  </si>
  <si>
    <t>UNION</t>
  </si>
  <si>
    <t>WASHINGTON</t>
  </si>
  <si>
    <t>YAMHILL</t>
  </si>
  <si>
    <t>TOTAL</t>
  </si>
  <si>
    <t>CHKSUM</t>
  </si>
  <si>
    <t>Award</t>
  </si>
  <si>
    <t>Funding</t>
  </si>
  <si>
    <t>Partner Funding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</si>
</sst>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/d\/yyyy"/>
    <numFmt numFmtId="165" formatCode="#,###.00;\-#,###.00"/>
    <numFmt numFmtId="166" formatCode="#,##0.00%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4"/>
      <name val="Calibri"/>
      <family val="2"/>
      <scheme val="minor"/>
    </font>
    <font>
      <sz val="11"/>
      <color rgb="FF333333"/>
      <name val="Arial"/>
      <family val="2"/>
    </font>
    <font>
      <sz val="11"/>
      <color rgb="FF3344DD"/>
      <name val="Arial"/>
      <family val="2"/>
    </font>
    <font>
      <b/>
      <sz val="11"/>
      <color rgb="FF333333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1" xfId="2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right"/>
    </xf>
    <xf numFmtId="166" fontId="5" fillId="3" borderId="3" xfId="0" applyNumberFormat="1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0" xfId="2"/>
    <xf numFmtId="167" fontId="0" fillId="0" borderId="0" xfId="0" applyNumberFormat="1"/>
    <xf numFmtId="0" fontId="2" fillId="0" borderId="0" xfId="0" applyFont="1"/>
    <xf numFmtId="0" fontId="0" fillId="0" borderId="4" xfId="0" applyBorder="1"/>
    <xf numFmtId="167" fontId="0" fillId="0" borderId="4" xfId="0" applyNumberFormat="1" applyBorder="1"/>
    <xf numFmtId="10" fontId="0" fillId="0" borderId="4" xfId="0" applyNumberFormat="1" applyBorder="1"/>
    <xf numFmtId="9" fontId="0" fillId="0" borderId="4" xfId="0" applyNumberFormat="1" applyBorder="1"/>
    <xf numFmtId="167" fontId="1" fillId="2" borderId="4" xfId="1" applyNumberFormat="1" applyBorder="1"/>
    <xf numFmtId="0" fontId="1" fillId="2" borderId="4" xfId="1" applyBorder="1"/>
    <xf numFmtId="10" fontId="2" fillId="0" borderId="4" xfId="0" applyNumberFormat="1" applyFont="1" applyBorder="1"/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7" fontId="2" fillId="4" borderId="4" xfId="0" applyNumberFormat="1" applyFont="1" applyFill="1" applyBorder="1"/>
    <xf numFmtId="0" fontId="2" fillId="4" borderId="0" xfId="0" applyFont="1" applyFill="1" applyBorder="1"/>
    <xf numFmtId="0" fontId="2" fillId="0" borderId="0" xfId="0" applyFont="1" applyAlignment="1">
      <alignment wrapText="1"/>
    </xf>
    <xf numFmtId="0" fontId="3" fillId="0" borderId="0" xfId="2" applyAlignment="1">
      <alignment wrapText="1"/>
    </xf>
    <xf numFmtId="0" fontId="0" fillId="0" borderId="0" xfId="0" applyAlignment="1">
      <alignment wrapText="1"/>
    </xf>
    <xf numFmtId="4" fontId="9" fillId="4" borderId="9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67" fontId="10" fillId="0" borderId="18" xfId="0" applyNumberFormat="1" applyFont="1" applyBorder="1" applyAlignment="1">
      <alignment horizontal="center"/>
    </xf>
    <xf numFmtId="0" fontId="0" fillId="0" borderId="17" xfId="0" applyBorder="1"/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67" fontId="10" fillId="0" borderId="0" xfId="0" applyNumberFormat="1" applyFont="1"/>
    <xf numFmtId="0" fontId="10" fillId="0" borderId="0" xfId="0" applyFont="1"/>
    <xf numFmtId="0" fontId="11" fillId="0" borderId="8" xfId="0" applyFont="1" applyBorder="1"/>
    <xf numFmtId="0" fontId="11" fillId="0" borderId="9" xfId="0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167" fontId="10" fillId="0" borderId="8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top" wrapText="1"/>
    </xf>
    <xf numFmtId="167" fontId="10" fillId="0" borderId="16" xfId="0" applyNumberFormat="1" applyFont="1" applyBorder="1" applyAlignment="1">
      <alignment horizontal="center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regon.gov/Pages/cgi-bin/ccrt.aspx?pg=rate&amp;sec1=8503" TargetMode="External"/><Relationship Id="rId1" Type="http://schemas.openxmlformats.org/officeDocument/2006/relationships/hyperlink" Target="http://www.oregon.gov/Pages/cgi-bin/ccrt.aspx?pg=repr&amp;sec1=OA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oregon.gov/DAS/Classification-Compensation/JobProfile/Title/NaturalResourceSpecialist3/JobProfileCode/8503/Category/NaturalResources/Sal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D320-F115-4B51-B4EF-6994D165564F}">
  <dimension ref="A1:N27"/>
  <sheetViews>
    <sheetView tabSelected="1" workbookViewId="0">
      <selection activeCell="O6" sqref="O6"/>
    </sheetView>
  </sheetViews>
  <sheetFormatPr defaultRowHeight="15" x14ac:dyDescent="0.25"/>
  <cols>
    <col min="1" max="1" width="23.28515625" bestFit="1" customWidth="1"/>
    <col min="2" max="2" width="17.42578125" customWidth="1"/>
    <col min="3" max="3" width="15.5703125" customWidth="1"/>
    <col min="6" max="6" width="10.5703125" bestFit="1" customWidth="1"/>
    <col min="8" max="8" width="14.28515625" customWidth="1"/>
    <col min="9" max="9" width="13.42578125" customWidth="1"/>
    <col min="10" max="10" width="14.42578125" customWidth="1"/>
    <col min="11" max="11" width="16.140625" customWidth="1"/>
    <col min="12" max="12" width="17.5703125" customWidth="1"/>
    <col min="13" max="13" width="16.85546875" customWidth="1"/>
  </cols>
  <sheetData>
    <row r="1" spans="1:14" ht="15.75" thickBot="1" x14ac:dyDescent="0.3">
      <c r="A1" t="s">
        <v>200</v>
      </c>
    </row>
    <row r="2" spans="1:14" ht="106.5" thickBot="1" x14ac:dyDescent="0.3">
      <c r="A2" s="66" t="s">
        <v>199</v>
      </c>
      <c r="B2" s="42" t="s">
        <v>163</v>
      </c>
      <c r="C2" s="43" t="s">
        <v>164</v>
      </c>
      <c r="D2" s="43" t="s">
        <v>165</v>
      </c>
      <c r="E2" s="43" t="s">
        <v>166</v>
      </c>
      <c r="F2" s="43" t="s">
        <v>167</v>
      </c>
      <c r="G2" s="43" t="s">
        <v>168</v>
      </c>
      <c r="H2" s="43" t="s">
        <v>169</v>
      </c>
      <c r="I2" s="43" t="s">
        <v>170</v>
      </c>
      <c r="J2" s="43" t="s">
        <v>171</v>
      </c>
      <c r="K2" s="43" t="s">
        <v>172</v>
      </c>
      <c r="L2" s="43" t="s">
        <v>173</v>
      </c>
      <c r="M2" s="68" t="s">
        <v>198</v>
      </c>
      <c r="N2" s="44"/>
    </row>
    <row r="3" spans="1:14" ht="16.5" thickBot="1" x14ac:dyDescent="0.3">
      <c r="A3" s="67">
        <v>100</v>
      </c>
      <c r="B3" s="45" t="s">
        <v>174</v>
      </c>
      <c r="C3" s="46">
        <v>11</v>
      </c>
      <c r="D3" s="46">
        <v>10</v>
      </c>
      <c r="E3" s="46">
        <f t="shared" ref="E3:E24" si="0">SUM(C3+D3)</f>
        <v>21</v>
      </c>
      <c r="F3" s="47">
        <f>SUM(E3/E25)</f>
        <v>2.4881516587677725E-2</v>
      </c>
      <c r="G3" s="46">
        <v>15</v>
      </c>
      <c r="H3" s="46">
        <v>26</v>
      </c>
      <c r="I3" s="46">
        <f t="shared" ref="I3:I25" si="1">SUM(G3+H3)</f>
        <v>41</v>
      </c>
      <c r="J3" s="47">
        <f>SUM(I3/I25)</f>
        <v>2.634961439588689E-2</v>
      </c>
      <c r="K3" s="46">
        <f t="shared" ref="K3:K24" si="2">SUM(E3+I3)</f>
        <v>62</v>
      </c>
      <c r="L3" s="47">
        <f t="shared" ref="L3:L24" si="3">SUM(0.6*F3+0.4*J3)</f>
        <v>2.546875571096139E-2</v>
      </c>
      <c r="M3" s="69">
        <f>SUM(A3*L3)</f>
        <v>2.5468755710961388</v>
      </c>
      <c r="N3" s="19"/>
    </row>
    <row r="4" spans="1:14" ht="15.75" x14ac:dyDescent="0.25">
      <c r="B4" s="49" t="s">
        <v>175</v>
      </c>
      <c r="C4" s="50">
        <v>63</v>
      </c>
      <c r="D4" s="50">
        <v>34</v>
      </c>
      <c r="E4" s="50">
        <f t="shared" si="0"/>
        <v>97</v>
      </c>
      <c r="F4" s="51">
        <f>SUM(E4/E25)</f>
        <v>0.11492890995260663</v>
      </c>
      <c r="G4" s="50">
        <v>97</v>
      </c>
      <c r="H4" s="50">
        <v>122</v>
      </c>
      <c r="I4" s="50">
        <f t="shared" si="1"/>
        <v>219</v>
      </c>
      <c r="J4" s="51">
        <f>SUM(I4/I25)</f>
        <v>0.14074550128534705</v>
      </c>
      <c r="K4" s="50">
        <f t="shared" si="2"/>
        <v>316</v>
      </c>
      <c r="L4" s="51">
        <f t="shared" si="3"/>
        <v>0.12525554648570281</v>
      </c>
      <c r="M4" s="48">
        <f>SUM(A3*L4)</f>
        <v>12.525554648570282</v>
      </c>
      <c r="N4" s="19"/>
    </row>
    <row r="5" spans="1:14" ht="15.75" x14ac:dyDescent="0.25">
      <c r="A5" s="52"/>
      <c r="B5" s="49" t="s">
        <v>176</v>
      </c>
      <c r="C5" s="50">
        <v>26</v>
      </c>
      <c r="D5" s="50">
        <v>6</v>
      </c>
      <c r="E5" s="50">
        <f t="shared" si="0"/>
        <v>32</v>
      </c>
      <c r="F5" s="51">
        <f>SUM(E5/E25)</f>
        <v>3.7914691943127965E-2</v>
      </c>
      <c r="G5" s="50">
        <v>15</v>
      </c>
      <c r="H5" s="50">
        <v>36</v>
      </c>
      <c r="I5" s="50">
        <f t="shared" si="1"/>
        <v>51</v>
      </c>
      <c r="J5" s="51">
        <f>SUM(I5/I25)</f>
        <v>3.2776349614395885E-2</v>
      </c>
      <c r="K5" s="50">
        <f t="shared" si="2"/>
        <v>83</v>
      </c>
      <c r="L5" s="51">
        <f t="shared" si="3"/>
        <v>3.5859355011635133E-2</v>
      </c>
      <c r="M5" s="48">
        <f>SUM(A3*L5)</f>
        <v>3.5859355011635135</v>
      </c>
      <c r="N5" s="19"/>
    </row>
    <row r="6" spans="1:14" ht="15.75" x14ac:dyDescent="0.25">
      <c r="A6" s="53"/>
      <c r="B6" s="49" t="s">
        <v>177</v>
      </c>
      <c r="C6" s="50">
        <v>7</v>
      </c>
      <c r="D6" s="50">
        <v>1</v>
      </c>
      <c r="E6" s="50">
        <f t="shared" si="0"/>
        <v>8</v>
      </c>
      <c r="F6" s="51">
        <f>SUM(E6/E25)</f>
        <v>9.4786729857819912E-3</v>
      </c>
      <c r="G6" s="50">
        <v>24</v>
      </c>
      <c r="H6" s="50">
        <v>17</v>
      </c>
      <c r="I6" s="50">
        <f t="shared" si="1"/>
        <v>41</v>
      </c>
      <c r="J6" s="51">
        <f>SUM(I6/I25)</f>
        <v>2.634961439588689E-2</v>
      </c>
      <c r="K6" s="50">
        <f t="shared" si="2"/>
        <v>49</v>
      </c>
      <c r="L6" s="51">
        <f t="shared" si="3"/>
        <v>1.6227049549823951E-2</v>
      </c>
      <c r="M6" s="48">
        <f>SUM(A3*L6)</f>
        <v>1.6227049549823951</v>
      </c>
      <c r="N6" s="19"/>
    </row>
    <row r="7" spans="1:14" ht="15.75" x14ac:dyDescent="0.25">
      <c r="B7" s="49" t="s">
        <v>178</v>
      </c>
      <c r="C7" s="50">
        <v>18</v>
      </c>
      <c r="D7" s="50">
        <v>2</v>
      </c>
      <c r="E7" s="50">
        <f t="shared" si="0"/>
        <v>20</v>
      </c>
      <c r="F7" s="51">
        <f>SUM(E7/E25)</f>
        <v>2.3696682464454975E-2</v>
      </c>
      <c r="G7" s="50">
        <v>18</v>
      </c>
      <c r="H7" s="50">
        <v>20</v>
      </c>
      <c r="I7" s="50">
        <f t="shared" si="1"/>
        <v>38</v>
      </c>
      <c r="J7" s="51">
        <f>SUM(I7/I25)</f>
        <v>2.4421593830334189E-2</v>
      </c>
      <c r="K7" s="50">
        <f t="shared" si="2"/>
        <v>58</v>
      </c>
      <c r="L7" s="51">
        <f t="shared" si="3"/>
        <v>2.3986647010806661E-2</v>
      </c>
      <c r="M7" s="48">
        <f>SUM(A3*L7)</f>
        <v>2.3986647010806661</v>
      </c>
      <c r="N7" s="19"/>
    </row>
    <row r="8" spans="1:14" ht="15.75" x14ac:dyDescent="0.25">
      <c r="B8" s="49" t="s">
        <v>179</v>
      </c>
      <c r="C8" s="50">
        <v>63</v>
      </c>
      <c r="D8" s="50">
        <v>9</v>
      </c>
      <c r="E8" s="50">
        <f t="shared" si="0"/>
        <v>72</v>
      </c>
      <c r="F8" s="51">
        <f>SUM(E8/E25)</f>
        <v>8.5308056872037921E-2</v>
      </c>
      <c r="G8" s="50">
        <v>55</v>
      </c>
      <c r="H8" s="50">
        <v>38</v>
      </c>
      <c r="I8" s="50">
        <f t="shared" si="1"/>
        <v>93</v>
      </c>
      <c r="J8" s="51">
        <f>SUM(I8/I25)</f>
        <v>5.9768637532133677E-2</v>
      </c>
      <c r="K8" s="50">
        <f t="shared" si="2"/>
        <v>165</v>
      </c>
      <c r="L8" s="51">
        <f t="shared" si="3"/>
        <v>7.5092289136076226E-2</v>
      </c>
      <c r="M8" s="48">
        <f>SUM(A3*L8)</f>
        <v>7.5092289136076227</v>
      </c>
      <c r="N8" s="19"/>
    </row>
    <row r="9" spans="1:14" ht="15.75" x14ac:dyDescent="0.25">
      <c r="B9" s="49" t="s">
        <v>180</v>
      </c>
      <c r="C9" s="50">
        <v>6</v>
      </c>
      <c r="D9" s="50">
        <v>5</v>
      </c>
      <c r="E9" s="50">
        <f t="shared" si="0"/>
        <v>11</v>
      </c>
      <c r="F9" s="51">
        <f>SUM(E9/E25)</f>
        <v>1.3033175355450236E-2</v>
      </c>
      <c r="G9" s="50">
        <v>55</v>
      </c>
      <c r="H9" s="50">
        <v>25</v>
      </c>
      <c r="I9" s="50">
        <f t="shared" si="1"/>
        <v>80</v>
      </c>
      <c r="J9" s="51">
        <f>SUM(I9/I25)</f>
        <v>5.1413881748071981E-2</v>
      </c>
      <c r="K9" s="50">
        <f t="shared" si="2"/>
        <v>91</v>
      </c>
      <c r="L9" s="51">
        <f t="shared" si="3"/>
        <v>2.8385457912498933E-2</v>
      </c>
      <c r="M9" s="48">
        <f>SUM(A3*L9)</f>
        <v>2.8385457912498935</v>
      </c>
      <c r="N9" s="19"/>
    </row>
    <row r="10" spans="1:14" ht="15.75" x14ac:dyDescent="0.25">
      <c r="B10" s="49" t="s">
        <v>181</v>
      </c>
      <c r="C10" s="50">
        <v>4</v>
      </c>
      <c r="D10" s="50">
        <v>1</v>
      </c>
      <c r="E10" s="50">
        <f t="shared" si="0"/>
        <v>5</v>
      </c>
      <c r="F10" s="51">
        <f>SUM(E10/E25)</f>
        <v>5.9241706161137437E-3</v>
      </c>
      <c r="G10" s="50">
        <v>12</v>
      </c>
      <c r="H10" s="50">
        <v>3</v>
      </c>
      <c r="I10" s="50">
        <f t="shared" si="1"/>
        <v>15</v>
      </c>
      <c r="J10" s="51">
        <f>SUM(I10/I25)</f>
        <v>9.640102827763496E-3</v>
      </c>
      <c r="K10" s="50">
        <f t="shared" si="2"/>
        <v>20</v>
      </c>
      <c r="L10" s="51">
        <f t="shared" si="3"/>
        <v>7.4105435007736442E-3</v>
      </c>
      <c r="M10" s="48">
        <f>SUM(A3*L10)</f>
        <v>0.74105435007736442</v>
      </c>
      <c r="N10" s="19"/>
    </row>
    <row r="11" spans="1:14" ht="15.75" x14ac:dyDescent="0.25">
      <c r="A11" s="19"/>
      <c r="B11" s="49" t="s">
        <v>182</v>
      </c>
      <c r="C11" s="50">
        <v>55</v>
      </c>
      <c r="D11" s="50">
        <v>22</v>
      </c>
      <c r="E11" s="50">
        <f t="shared" si="0"/>
        <v>77</v>
      </c>
      <c r="F11" s="51">
        <f>SUM(E11/E25)</f>
        <v>9.1232227488151657E-2</v>
      </c>
      <c r="G11" s="50">
        <v>91</v>
      </c>
      <c r="H11" s="50">
        <v>43</v>
      </c>
      <c r="I11" s="50">
        <f t="shared" si="1"/>
        <v>134</v>
      </c>
      <c r="J11" s="51">
        <f>SUM(I11/I25)</f>
        <v>8.611825192802057E-2</v>
      </c>
      <c r="K11" s="50">
        <f t="shared" si="2"/>
        <v>211</v>
      </c>
      <c r="L11" s="51">
        <f t="shared" si="3"/>
        <v>8.9186637264099228E-2</v>
      </c>
      <c r="M11" s="48">
        <f>SUM(A3*L11)</f>
        <v>8.9186637264099229</v>
      </c>
      <c r="N11" s="19"/>
    </row>
    <row r="12" spans="1:14" ht="15.75" x14ac:dyDescent="0.25">
      <c r="B12" s="49" t="s">
        <v>183</v>
      </c>
      <c r="C12" s="50">
        <v>1</v>
      </c>
      <c r="D12" s="50">
        <v>2</v>
      </c>
      <c r="E12" s="50">
        <f t="shared" si="0"/>
        <v>3</v>
      </c>
      <c r="F12" s="51">
        <f>SUM(E12/E25)</f>
        <v>3.5545023696682463E-3</v>
      </c>
      <c r="G12" s="50">
        <v>22</v>
      </c>
      <c r="H12" s="50">
        <v>4</v>
      </c>
      <c r="I12" s="50">
        <f t="shared" si="1"/>
        <v>26</v>
      </c>
      <c r="J12" s="51">
        <f>SUM(I12/I25)</f>
        <v>1.6709511568123392E-2</v>
      </c>
      <c r="K12" s="50">
        <f t="shared" si="2"/>
        <v>29</v>
      </c>
      <c r="L12" s="51">
        <f t="shared" si="3"/>
        <v>8.8165060490503055E-3</v>
      </c>
      <c r="M12" s="48">
        <f>SUM(A3*L12)</f>
        <v>0.88165060490503055</v>
      </c>
      <c r="N12" s="19"/>
    </row>
    <row r="13" spans="1:14" ht="15.75" x14ac:dyDescent="0.25">
      <c r="B13" s="49" t="s">
        <v>184</v>
      </c>
      <c r="C13" s="50">
        <v>30</v>
      </c>
      <c r="D13" s="50">
        <v>21</v>
      </c>
      <c r="E13" s="50">
        <f t="shared" si="0"/>
        <v>51</v>
      </c>
      <c r="F13" s="51">
        <f>SUM(E13/E25)</f>
        <v>6.0426540284360189E-2</v>
      </c>
      <c r="G13" s="50">
        <v>66</v>
      </c>
      <c r="H13" s="50">
        <v>60</v>
      </c>
      <c r="I13" s="50">
        <f t="shared" si="1"/>
        <v>126</v>
      </c>
      <c r="J13" s="51">
        <f>SUM(I13/I25)</f>
        <v>8.0976863753213363E-2</v>
      </c>
      <c r="K13" s="50">
        <f t="shared" si="2"/>
        <v>177</v>
      </c>
      <c r="L13" s="51">
        <f t="shared" si="3"/>
        <v>6.8646669671901459E-2</v>
      </c>
      <c r="M13" s="48">
        <f>SUM(A3*L13)</f>
        <v>6.8646669671901455</v>
      </c>
      <c r="N13" s="19"/>
    </row>
    <row r="14" spans="1:14" ht="15.75" x14ac:dyDescent="0.25">
      <c r="B14" s="49" t="s">
        <v>185</v>
      </c>
      <c r="C14" s="50">
        <v>25</v>
      </c>
      <c r="D14" s="50">
        <v>7</v>
      </c>
      <c r="E14" s="50">
        <f t="shared" si="0"/>
        <v>32</v>
      </c>
      <c r="F14" s="51">
        <f>SUM(E14/E25)</f>
        <v>3.7914691943127965E-2</v>
      </c>
      <c r="G14" s="50">
        <v>72</v>
      </c>
      <c r="H14" s="50">
        <v>41</v>
      </c>
      <c r="I14" s="50">
        <f t="shared" si="1"/>
        <v>113</v>
      </c>
      <c r="J14" s="51">
        <f>SUM(I14/I25)</f>
        <v>7.2622107969151667E-2</v>
      </c>
      <c r="K14" s="50">
        <f t="shared" si="2"/>
        <v>145</v>
      </c>
      <c r="L14" s="51">
        <f>SUM(0.6*F14+0.4*J14)</f>
        <v>5.1797658353537446E-2</v>
      </c>
      <c r="M14" s="48">
        <f>SUM(A3*L14)</f>
        <v>5.179765835353745</v>
      </c>
      <c r="N14" s="19"/>
    </row>
    <row r="15" spans="1:14" ht="15.75" x14ac:dyDescent="0.25">
      <c r="B15" s="49" t="s">
        <v>186</v>
      </c>
      <c r="C15" s="50">
        <v>51</v>
      </c>
      <c r="D15" s="50">
        <v>31</v>
      </c>
      <c r="E15" s="50">
        <f t="shared" si="0"/>
        <v>82</v>
      </c>
      <c r="F15" s="51">
        <f>SUM(E15/E25)</f>
        <v>9.7156398104265407E-2</v>
      </c>
      <c r="G15" s="50">
        <v>105</v>
      </c>
      <c r="H15" s="50">
        <v>83</v>
      </c>
      <c r="I15" s="50">
        <f t="shared" si="1"/>
        <v>188</v>
      </c>
      <c r="J15" s="51">
        <f>SUM(I15/I25)</f>
        <v>0.12082262210796915</v>
      </c>
      <c r="K15" s="50">
        <f t="shared" si="2"/>
        <v>270</v>
      </c>
      <c r="L15" s="51">
        <f t="shared" si="3"/>
        <v>0.1066228877057469</v>
      </c>
      <c r="M15" s="48">
        <f>SUM(A3*L15)</f>
        <v>10.66228877057469</v>
      </c>
      <c r="N15" s="19"/>
    </row>
    <row r="16" spans="1:14" ht="15.75" x14ac:dyDescent="0.25">
      <c r="B16" s="49" t="s">
        <v>187</v>
      </c>
      <c r="C16" s="50">
        <v>33</v>
      </c>
      <c r="D16" s="50">
        <v>40</v>
      </c>
      <c r="E16" s="50">
        <f t="shared" si="0"/>
        <v>73</v>
      </c>
      <c r="F16" s="51">
        <f>SUM(E16/E25)</f>
        <v>8.6492890995260668E-2</v>
      </c>
      <c r="G16" s="50">
        <v>62</v>
      </c>
      <c r="H16" s="50">
        <v>36</v>
      </c>
      <c r="I16" s="50">
        <f t="shared" si="1"/>
        <v>98</v>
      </c>
      <c r="J16" s="51">
        <f>SUM(I16/I25)</f>
        <v>6.2982005141388173E-2</v>
      </c>
      <c r="K16" s="50">
        <f t="shared" si="2"/>
        <v>171</v>
      </c>
      <c r="L16" s="51">
        <f t="shared" si="3"/>
        <v>7.7088536653711667E-2</v>
      </c>
      <c r="M16" s="48">
        <f>SUM(A3*L16)</f>
        <v>7.7088536653711666</v>
      </c>
      <c r="N16" s="19"/>
    </row>
    <row r="17" spans="2:14" ht="15.75" x14ac:dyDescent="0.25">
      <c r="B17" s="49" t="s">
        <v>188</v>
      </c>
      <c r="C17" s="50">
        <v>63</v>
      </c>
      <c r="D17" s="50">
        <v>34</v>
      </c>
      <c r="E17" s="50">
        <f t="shared" si="0"/>
        <v>97</v>
      </c>
      <c r="F17" s="51">
        <f>SUM(E17/E25)</f>
        <v>0.11492890995260663</v>
      </c>
      <c r="G17" s="50">
        <v>50</v>
      </c>
      <c r="H17" s="50">
        <v>35</v>
      </c>
      <c r="I17" s="50">
        <f t="shared" si="1"/>
        <v>85</v>
      </c>
      <c r="J17" s="51">
        <f>SUM(I17/I25)</f>
        <v>5.4627249357326477E-2</v>
      </c>
      <c r="K17" s="50">
        <f t="shared" si="2"/>
        <v>182</v>
      </c>
      <c r="L17" s="51">
        <f t="shared" si="3"/>
        <v>9.0808245714494557E-2</v>
      </c>
      <c r="M17" s="48">
        <f>SUM(A3*L17)</f>
        <v>9.0808245714494564</v>
      </c>
      <c r="N17" s="19"/>
    </row>
    <row r="18" spans="2:14" ht="15.75" x14ac:dyDescent="0.25">
      <c r="B18" s="49" t="s">
        <v>189</v>
      </c>
      <c r="C18" s="50">
        <v>16</v>
      </c>
      <c r="D18" s="50">
        <v>6</v>
      </c>
      <c r="E18" s="50">
        <f t="shared" si="0"/>
        <v>22</v>
      </c>
      <c r="F18" s="51">
        <f>SUM(E18/E25)</f>
        <v>2.6066350710900472E-2</v>
      </c>
      <c r="G18" s="50">
        <v>19</v>
      </c>
      <c r="H18" s="50">
        <v>11</v>
      </c>
      <c r="I18" s="50">
        <f t="shared" si="1"/>
        <v>30</v>
      </c>
      <c r="J18" s="51">
        <f>SUM(I18/I25)</f>
        <v>1.9280205655526992E-2</v>
      </c>
      <c r="K18" s="50">
        <f t="shared" si="2"/>
        <v>52</v>
      </c>
      <c r="L18" s="51">
        <f t="shared" si="3"/>
        <v>2.335189268875108E-2</v>
      </c>
      <c r="M18" s="48">
        <f>SUM(A3*L18)</f>
        <v>2.3351892688751081</v>
      </c>
      <c r="N18" s="19"/>
    </row>
    <row r="19" spans="2:14" ht="15.75" x14ac:dyDescent="0.25">
      <c r="B19" s="49" t="s">
        <v>190</v>
      </c>
      <c r="C19" s="50">
        <v>22</v>
      </c>
      <c r="D19" s="50">
        <v>5</v>
      </c>
      <c r="E19" s="50">
        <f>SUM(C19+D19)</f>
        <v>27</v>
      </c>
      <c r="F19" s="51">
        <f>SUM(E19/E25)</f>
        <v>3.1990521327014215E-2</v>
      </c>
      <c r="G19" s="50">
        <v>29</v>
      </c>
      <c r="H19" s="50">
        <v>5</v>
      </c>
      <c r="I19" s="50">
        <f>SUM(G19+H19)</f>
        <v>34</v>
      </c>
      <c r="J19" s="51">
        <f>SUM(I19/I25)</f>
        <v>2.1850899742930592E-2</v>
      </c>
      <c r="K19" s="50">
        <f>SUM(E19+I19)</f>
        <v>61</v>
      </c>
      <c r="L19" s="51">
        <f>SUM(0.6*F19+0.4*J19)</f>
        <v>2.7934672693380763E-2</v>
      </c>
      <c r="M19" s="48">
        <f>SUM(A3*L19)</f>
        <v>2.7934672693380764</v>
      </c>
      <c r="N19" s="19"/>
    </row>
    <row r="20" spans="2:14" ht="15.75" x14ac:dyDescent="0.25">
      <c r="B20" s="49" t="s">
        <v>191</v>
      </c>
      <c r="C20" s="50">
        <v>5</v>
      </c>
      <c r="D20" s="50">
        <v>3</v>
      </c>
      <c r="E20" s="50">
        <f t="shared" si="0"/>
        <v>8</v>
      </c>
      <c r="F20" s="51">
        <f>SUM(E20/E25)</f>
        <v>9.4786729857819912E-3</v>
      </c>
      <c r="G20" s="50">
        <v>7</v>
      </c>
      <c r="H20" s="50">
        <v>1</v>
      </c>
      <c r="I20" s="50">
        <f t="shared" si="1"/>
        <v>8</v>
      </c>
      <c r="J20" s="51">
        <f>SUM(I20/I25)</f>
        <v>5.1413881748071976E-3</v>
      </c>
      <c r="K20" s="50">
        <f t="shared" si="2"/>
        <v>16</v>
      </c>
      <c r="L20" s="51">
        <f t="shared" si="3"/>
        <v>7.7437590613920739E-3</v>
      </c>
      <c r="M20" s="48">
        <f>SUM(A3*L20)</f>
        <v>0.77437590613920737</v>
      </c>
      <c r="N20" s="19"/>
    </row>
    <row r="21" spans="2:14" ht="15.75" x14ac:dyDescent="0.25">
      <c r="B21" s="49" t="s">
        <v>192</v>
      </c>
      <c r="C21" s="50">
        <v>27</v>
      </c>
      <c r="D21" s="50">
        <v>3</v>
      </c>
      <c r="E21" s="50">
        <f t="shared" si="0"/>
        <v>30</v>
      </c>
      <c r="F21" s="51">
        <f>SUM(E21/E25)</f>
        <v>3.5545023696682464E-2</v>
      </c>
      <c r="G21" s="50">
        <v>18</v>
      </c>
      <c r="H21" s="50">
        <v>15</v>
      </c>
      <c r="I21" s="50">
        <f t="shared" si="1"/>
        <v>33</v>
      </c>
      <c r="J21" s="51">
        <f>SUM(I21/I25)</f>
        <v>2.1208226221079693E-2</v>
      </c>
      <c r="K21" s="50">
        <f t="shared" si="2"/>
        <v>63</v>
      </c>
      <c r="L21" s="51">
        <f t="shared" si="3"/>
        <v>2.9810304706441353E-2</v>
      </c>
      <c r="M21" s="48">
        <f>SUM(A3*L21)</f>
        <v>2.9810304706441353</v>
      </c>
      <c r="N21" s="19"/>
    </row>
    <row r="22" spans="2:14" ht="15.75" x14ac:dyDescent="0.25">
      <c r="B22" s="49" t="s">
        <v>193</v>
      </c>
      <c r="C22" s="50">
        <v>9</v>
      </c>
      <c r="D22" s="50">
        <v>1</v>
      </c>
      <c r="E22" s="50">
        <f t="shared" si="0"/>
        <v>10</v>
      </c>
      <c r="F22" s="51">
        <f>SUM(E22/E25)</f>
        <v>1.1848341232227487E-2</v>
      </c>
      <c r="G22" s="50">
        <v>10</v>
      </c>
      <c r="H22" s="50">
        <v>7</v>
      </c>
      <c r="I22" s="50">
        <f t="shared" si="1"/>
        <v>17</v>
      </c>
      <c r="J22" s="51">
        <f>SUM(I22/I25)</f>
        <v>1.0925449871465296E-2</v>
      </c>
      <c r="K22" s="50">
        <f t="shared" si="2"/>
        <v>27</v>
      </c>
      <c r="L22" s="51">
        <f t="shared" si="3"/>
        <v>1.1479184687922611E-2</v>
      </c>
      <c r="M22" s="48">
        <f>SUM(A3*L22)</f>
        <v>1.1479184687922612</v>
      </c>
      <c r="N22" s="19"/>
    </row>
    <row r="23" spans="2:14" ht="15.75" x14ac:dyDescent="0.25">
      <c r="B23" s="49" t="s">
        <v>194</v>
      </c>
      <c r="C23" s="50">
        <v>15</v>
      </c>
      <c r="D23" s="50">
        <v>13</v>
      </c>
      <c r="E23" s="50">
        <f t="shared" si="0"/>
        <v>28</v>
      </c>
      <c r="F23" s="51">
        <f>SUM(E23/E25)</f>
        <v>3.3175355450236969E-2</v>
      </c>
      <c r="G23" s="50">
        <v>42</v>
      </c>
      <c r="H23" s="50">
        <v>13</v>
      </c>
      <c r="I23" s="50">
        <f t="shared" si="1"/>
        <v>55</v>
      </c>
      <c r="J23" s="51">
        <f>SUM(I23/I25)</f>
        <v>3.5347043701799488E-2</v>
      </c>
      <c r="K23" s="50">
        <f t="shared" si="2"/>
        <v>83</v>
      </c>
      <c r="L23" s="51">
        <f t="shared" si="3"/>
        <v>3.4044030750861973E-2</v>
      </c>
      <c r="M23" s="48">
        <f>SUM(A3*L23)</f>
        <v>3.4044030750861971</v>
      </c>
      <c r="N23" s="19"/>
    </row>
    <row r="24" spans="2:14" ht="15.75" x14ac:dyDescent="0.25">
      <c r="B24" s="49" t="s">
        <v>195</v>
      </c>
      <c r="C24" s="50">
        <v>27</v>
      </c>
      <c r="D24" s="50">
        <v>11</v>
      </c>
      <c r="E24" s="50">
        <f t="shared" si="0"/>
        <v>38</v>
      </c>
      <c r="F24" s="51">
        <f>SUM(E24/E25)</f>
        <v>4.5023696682464455E-2</v>
      </c>
      <c r="G24" s="50">
        <v>8</v>
      </c>
      <c r="H24" s="50">
        <v>23</v>
      </c>
      <c r="I24" s="50">
        <f t="shared" si="1"/>
        <v>31</v>
      </c>
      <c r="J24" s="51">
        <f>SUM(I24/I25)</f>
        <v>1.9922879177377891E-2</v>
      </c>
      <c r="K24" s="50">
        <f t="shared" si="2"/>
        <v>69</v>
      </c>
      <c r="L24" s="51">
        <f t="shared" si="3"/>
        <v>3.4983369680429824E-2</v>
      </c>
      <c r="M24" s="48">
        <f>SUM(A3*L24)</f>
        <v>3.4983369680429823</v>
      </c>
      <c r="N24" s="19"/>
    </row>
    <row r="25" spans="2:14" ht="16.5" thickBot="1" x14ac:dyDescent="0.3">
      <c r="B25" s="54" t="s">
        <v>196</v>
      </c>
      <c r="C25" s="55">
        <f>SUM(C3:C24)</f>
        <v>577</v>
      </c>
      <c r="D25" s="55">
        <f>SUM(D3:D24)</f>
        <v>267</v>
      </c>
      <c r="E25" s="55">
        <f>SUM(E3:E24)</f>
        <v>844</v>
      </c>
      <c r="F25" s="56">
        <f>SUM(F3:F24)</f>
        <v>0.99999999999999989</v>
      </c>
      <c r="G25" s="55">
        <f>SUM(G3:G24)</f>
        <v>892</v>
      </c>
      <c r="H25" s="55">
        <f>SUM(H3:H24)</f>
        <v>664</v>
      </c>
      <c r="I25" s="55">
        <f t="shared" si="1"/>
        <v>1556</v>
      </c>
      <c r="J25" s="56">
        <f>SUM(J3:J24)</f>
        <v>1</v>
      </c>
      <c r="K25" s="55">
        <f>SUM(K3:K24)</f>
        <v>2400</v>
      </c>
      <c r="L25" s="56">
        <f>SUM(L3:L24)</f>
        <v>0.99999999999999978</v>
      </c>
      <c r="M25" s="57">
        <f>SUM(M3:M24)</f>
        <v>100</v>
      </c>
      <c r="N25" s="19"/>
    </row>
    <row r="26" spans="2:14" ht="15.75" x14ac:dyDescent="0.2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2:14" ht="15.75" x14ac:dyDescent="0.25">
      <c r="B27" s="61" t="s">
        <v>197</v>
      </c>
      <c r="C27" s="61">
        <f t="shared" ref="C27:L27" si="4">SUM(C3:C24)</f>
        <v>577</v>
      </c>
      <c r="D27" s="61">
        <f t="shared" si="4"/>
        <v>267</v>
      </c>
      <c r="E27" s="61">
        <f t="shared" si="4"/>
        <v>844</v>
      </c>
      <c r="F27" s="62">
        <f t="shared" si="4"/>
        <v>0.99999999999999989</v>
      </c>
      <c r="G27" s="61">
        <f t="shared" si="4"/>
        <v>892</v>
      </c>
      <c r="H27" s="61">
        <f t="shared" si="4"/>
        <v>664</v>
      </c>
      <c r="I27" s="61">
        <f t="shared" si="4"/>
        <v>1556</v>
      </c>
      <c r="J27" s="62">
        <f t="shared" si="4"/>
        <v>1</v>
      </c>
      <c r="K27" s="63">
        <f t="shared" si="4"/>
        <v>2400</v>
      </c>
      <c r="L27" s="64">
        <f t="shared" si="4"/>
        <v>0.99999999999999978</v>
      </c>
      <c r="M27" s="65">
        <f>SUM(M3:M24)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CFEC-069D-4240-9627-B21088D9BDE4}">
  <dimension ref="B3:E9"/>
  <sheetViews>
    <sheetView workbookViewId="0">
      <selection activeCell="E18" sqref="E18"/>
    </sheetView>
  </sheetViews>
  <sheetFormatPr defaultRowHeight="15" x14ac:dyDescent="0.25"/>
  <cols>
    <col min="2" max="2" width="56" bestFit="1" customWidth="1"/>
    <col min="3" max="3" width="7.140625" bestFit="1" customWidth="1"/>
    <col min="4" max="4" width="11.140625" bestFit="1" customWidth="1"/>
    <col min="5" max="5" width="18.28515625" bestFit="1" customWidth="1"/>
  </cols>
  <sheetData>
    <row r="3" spans="2:5" x14ac:dyDescent="0.25">
      <c r="B3" s="21" t="s">
        <v>134</v>
      </c>
      <c r="C3" s="21"/>
      <c r="D3" s="22">
        <v>5026</v>
      </c>
      <c r="E3" s="21" t="s">
        <v>4</v>
      </c>
    </row>
    <row r="4" spans="2:5" x14ac:dyDescent="0.25">
      <c r="B4" s="21" t="s">
        <v>0</v>
      </c>
      <c r="C4" s="21"/>
      <c r="D4" s="22">
        <f>SUM(D3*12)</f>
        <v>60312</v>
      </c>
      <c r="E4" s="21" t="s">
        <v>5</v>
      </c>
    </row>
    <row r="5" spans="2:5" x14ac:dyDescent="0.25">
      <c r="B5" s="21" t="s">
        <v>132</v>
      </c>
      <c r="C5" s="21"/>
      <c r="D5" s="22">
        <f>SUM(D4*1.49)</f>
        <v>89864.88</v>
      </c>
      <c r="E5" s="21" t="s">
        <v>6</v>
      </c>
    </row>
    <row r="6" spans="2:5" x14ac:dyDescent="0.25">
      <c r="B6" s="21" t="s">
        <v>131</v>
      </c>
      <c r="C6" s="21"/>
      <c r="D6" s="22">
        <f>SUM(D5+5672)</f>
        <v>95536.88</v>
      </c>
      <c r="E6" s="21" t="s">
        <v>1</v>
      </c>
    </row>
    <row r="7" spans="2:5" x14ac:dyDescent="0.25">
      <c r="B7" s="21" t="s">
        <v>2</v>
      </c>
      <c r="C7" s="23">
        <v>0.1</v>
      </c>
      <c r="D7" s="22">
        <f>SUM(D6+(D6*0.1))</f>
        <v>105090.568</v>
      </c>
      <c r="E7" s="21" t="s">
        <v>2</v>
      </c>
    </row>
    <row r="8" spans="2:5" x14ac:dyDescent="0.25">
      <c r="B8" s="21" t="s">
        <v>3</v>
      </c>
      <c r="C8" s="24">
        <v>0.1</v>
      </c>
      <c r="D8" s="22">
        <f>SUM(D7+(D7*0.1))</f>
        <v>115599.62480000001</v>
      </c>
      <c r="E8" s="21" t="s">
        <v>7</v>
      </c>
    </row>
    <row r="9" spans="2:5" x14ac:dyDescent="0.25">
      <c r="B9" s="21" t="s">
        <v>133</v>
      </c>
      <c r="C9" s="21"/>
      <c r="D9" s="25">
        <f>SUM(D8/1640)</f>
        <v>70.487576097560975</v>
      </c>
      <c r="E9" s="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BDF8-A35D-45D6-BEDD-B1CD7196A8F7}">
  <dimension ref="B2:E19"/>
  <sheetViews>
    <sheetView workbookViewId="0">
      <selection activeCell="I5" sqref="I5"/>
    </sheetView>
  </sheetViews>
  <sheetFormatPr defaultRowHeight="15" x14ac:dyDescent="0.25"/>
  <cols>
    <col min="2" max="2" width="56" bestFit="1" customWidth="1"/>
    <col min="3" max="3" width="16.5703125" bestFit="1" customWidth="1"/>
    <col min="4" max="4" width="11.140625" bestFit="1" customWidth="1"/>
    <col min="5" max="5" width="18.28515625" bestFit="1" customWidth="1"/>
  </cols>
  <sheetData>
    <row r="2" spans="2:5" x14ac:dyDescent="0.25">
      <c r="C2" s="20" t="s">
        <v>140</v>
      </c>
    </row>
    <row r="3" spans="2:5" x14ac:dyDescent="0.25">
      <c r="B3" s="21" t="s">
        <v>129</v>
      </c>
      <c r="C3" s="21"/>
      <c r="D3" s="22">
        <v>6780</v>
      </c>
      <c r="E3" s="21" t="s">
        <v>4</v>
      </c>
    </row>
    <row r="4" spans="2:5" x14ac:dyDescent="0.25">
      <c r="B4" s="21" t="s">
        <v>0</v>
      </c>
      <c r="C4" s="21"/>
      <c r="D4" s="22">
        <f>SUM(D3*12)</f>
        <v>81360</v>
      </c>
      <c r="E4" s="21" t="s">
        <v>5</v>
      </c>
    </row>
    <row r="5" spans="2:5" x14ac:dyDescent="0.25">
      <c r="B5" s="21" t="s">
        <v>132</v>
      </c>
      <c r="C5" s="21"/>
      <c r="D5" s="22">
        <f>SUM(D4*1.49)</f>
        <v>121226.4</v>
      </c>
      <c r="E5" s="21" t="s">
        <v>6</v>
      </c>
    </row>
    <row r="6" spans="2:5" x14ac:dyDescent="0.25">
      <c r="B6" s="21" t="s">
        <v>131</v>
      </c>
      <c r="C6" s="21"/>
      <c r="D6" s="22">
        <f>SUM(D5+5672)</f>
        <v>126898.4</v>
      </c>
      <c r="E6" s="21" t="s">
        <v>1</v>
      </c>
    </row>
    <row r="7" spans="2:5" x14ac:dyDescent="0.25">
      <c r="B7" s="21" t="s">
        <v>2</v>
      </c>
      <c r="C7" s="23">
        <v>0.1641</v>
      </c>
      <c r="D7" s="22">
        <f>SUM(D6+(D6*0.1641))</f>
        <v>147722.42744</v>
      </c>
      <c r="E7" s="21" t="s">
        <v>2</v>
      </c>
    </row>
    <row r="8" spans="2:5" x14ac:dyDescent="0.25">
      <c r="B8" s="21" t="s">
        <v>3</v>
      </c>
      <c r="C8" s="24">
        <v>0.1</v>
      </c>
      <c r="D8" s="22">
        <f>SUM(D7+(D7*0.1))</f>
        <v>162494.67018399999</v>
      </c>
      <c r="E8" s="21" t="s">
        <v>7</v>
      </c>
    </row>
    <row r="9" spans="2:5" x14ac:dyDescent="0.25">
      <c r="B9" s="21" t="s">
        <v>133</v>
      </c>
      <c r="C9" s="21"/>
      <c r="D9" s="25">
        <f>SUM(D8/1640)</f>
        <v>99.082115965853646</v>
      </c>
      <c r="E9" s="26" t="s">
        <v>130</v>
      </c>
    </row>
    <row r="10" spans="2:5" x14ac:dyDescent="0.25">
      <c r="D10" s="19"/>
    </row>
    <row r="12" spans="2:5" x14ac:dyDescent="0.25">
      <c r="C12" s="20" t="s">
        <v>139</v>
      </c>
    </row>
    <row r="13" spans="2:5" x14ac:dyDescent="0.25">
      <c r="B13" s="21" t="s">
        <v>134</v>
      </c>
      <c r="C13" s="21"/>
      <c r="D13" s="22">
        <v>5026</v>
      </c>
      <c r="E13" s="21" t="s">
        <v>4</v>
      </c>
    </row>
    <row r="14" spans="2:5" x14ac:dyDescent="0.25">
      <c r="B14" s="21" t="s">
        <v>0</v>
      </c>
      <c r="C14" s="21"/>
      <c r="D14" s="22">
        <f>SUM(D13*12)</f>
        <v>60312</v>
      </c>
      <c r="E14" s="21" t="s">
        <v>5</v>
      </c>
    </row>
    <row r="15" spans="2:5" x14ac:dyDescent="0.25">
      <c r="B15" s="21" t="s">
        <v>132</v>
      </c>
      <c r="C15" s="21"/>
      <c r="D15" s="22">
        <f>SUM(D14*1.49)</f>
        <v>89864.88</v>
      </c>
      <c r="E15" s="21" t="s">
        <v>6</v>
      </c>
    </row>
    <row r="16" spans="2:5" x14ac:dyDescent="0.25">
      <c r="B16" s="21" t="s">
        <v>131</v>
      </c>
      <c r="C16" s="21"/>
      <c r="D16" s="22">
        <f>SUM(D15+5672)</f>
        <v>95536.88</v>
      </c>
      <c r="E16" s="21" t="s">
        <v>1</v>
      </c>
    </row>
    <row r="17" spans="2:5" x14ac:dyDescent="0.25">
      <c r="B17" s="21" t="s">
        <v>2</v>
      </c>
      <c r="C17" s="23">
        <v>0.1</v>
      </c>
      <c r="D17" s="22">
        <f>SUM(D16+(D16*0.1))</f>
        <v>105090.568</v>
      </c>
      <c r="E17" s="21" t="s">
        <v>2</v>
      </c>
    </row>
    <row r="18" spans="2:5" x14ac:dyDescent="0.25">
      <c r="B18" s="21" t="s">
        <v>3</v>
      </c>
      <c r="C18" s="24">
        <v>0.1</v>
      </c>
      <c r="D18" s="22">
        <f>SUM(D17+(D17*0.1))</f>
        <v>115599.62480000001</v>
      </c>
      <c r="E18" s="21" t="s">
        <v>7</v>
      </c>
    </row>
    <row r="19" spans="2:5" x14ac:dyDescent="0.25">
      <c r="B19" s="21" t="s">
        <v>133</v>
      </c>
      <c r="C19" s="21"/>
      <c r="D19" s="25">
        <f>SUM(D18/1640)</f>
        <v>70.487576097560975</v>
      </c>
      <c r="E19" s="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EX9"/>
  <sheetViews>
    <sheetView workbookViewId="0">
      <selection activeCell="F1" sqref="F1"/>
    </sheetView>
  </sheetViews>
  <sheetFormatPr defaultRowHeight="15" x14ac:dyDescent="0.25"/>
  <sheetData>
    <row r="2" spans="1:16378" x14ac:dyDescent="0.25">
      <c r="C2" t="s">
        <v>22</v>
      </c>
    </row>
    <row r="3" spans="1:16378" x14ac:dyDescent="0.25">
      <c r="C3" s="2" t="s">
        <v>8</v>
      </c>
      <c r="D3" s="1" t="s">
        <v>9</v>
      </c>
      <c r="E3" s="3" t="s">
        <v>10</v>
      </c>
      <c r="F3" s="3" t="s">
        <v>11</v>
      </c>
      <c r="G3" s="3">
        <v>28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7" t="s">
        <v>20</v>
      </c>
      <c r="Q3" s="1"/>
      <c r="R3" s="4" t="s">
        <v>21</v>
      </c>
    </row>
    <row r="4" spans="1:16378" x14ac:dyDescent="0.25">
      <c r="A4" s="18" t="s">
        <v>128</v>
      </c>
    </row>
    <row r="8" spans="1:16378" ht="33.75" x14ac:dyDescent="0.25">
      <c r="B8" s="5" t="s">
        <v>23</v>
      </c>
      <c r="C8" s="5" t="s">
        <v>24</v>
      </c>
      <c r="D8" s="5" t="s">
        <v>25</v>
      </c>
      <c r="E8" s="5" t="s">
        <v>26</v>
      </c>
      <c r="F8" s="6" t="s">
        <v>27</v>
      </c>
      <c r="G8" s="5" t="s">
        <v>28</v>
      </c>
      <c r="H8" s="5" t="s">
        <v>29</v>
      </c>
      <c r="I8" s="5" t="s">
        <v>30</v>
      </c>
      <c r="J8" s="5" t="s">
        <v>31</v>
      </c>
      <c r="K8" s="5" t="s">
        <v>32</v>
      </c>
      <c r="L8" s="5" t="s">
        <v>33</v>
      </c>
      <c r="M8" s="5" t="s">
        <v>34</v>
      </c>
      <c r="N8" s="5" t="s">
        <v>35</v>
      </c>
      <c r="O8" s="5" t="s">
        <v>36</v>
      </c>
      <c r="P8" s="5" t="s">
        <v>37</v>
      </c>
      <c r="Q8" s="6" t="s">
        <v>38</v>
      </c>
      <c r="R8" s="5" t="s">
        <v>39</v>
      </c>
      <c r="S8" s="5" t="s">
        <v>40</v>
      </c>
      <c r="T8" s="5" t="s">
        <v>41</v>
      </c>
      <c r="U8" s="5" t="s">
        <v>42</v>
      </c>
      <c r="V8" s="5" t="s">
        <v>43</v>
      </c>
      <c r="W8" s="5" t="s">
        <v>44</v>
      </c>
      <c r="X8" s="5" t="s">
        <v>45</v>
      </c>
      <c r="Y8" s="5" t="s">
        <v>46</v>
      </c>
      <c r="Z8" s="5" t="s">
        <v>47</v>
      </c>
      <c r="AA8" s="5" t="s">
        <v>48</v>
      </c>
      <c r="AB8" s="5" t="s">
        <v>49</v>
      </c>
      <c r="AC8" s="5" t="s">
        <v>50</v>
      </c>
      <c r="AD8" s="5" t="s">
        <v>51</v>
      </c>
      <c r="AE8" s="5" t="s">
        <v>52</v>
      </c>
      <c r="AF8" s="5" t="s">
        <v>53</v>
      </c>
      <c r="AG8" s="7" t="s">
        <v>54</v>
      </c>
      <c r="AH8" s="5" t="s">
        <v>55</v>
      </c>
      <c r="AI8" s="7" t="s">
        <v>56</v>
      </c>
      <c r="AJ8" s="5" t="s">
        <v>57</v>
      </c>
      <c r="AK8" s="5" t="s">
        <v>58</v>
      </c>
      <c r="AL8" s="7" t="s">
        <v>59</v>
      </c>
      <c r="AM8" s="5" t="s">
        <v>60</v>
      </c>
      <c r="AN8" s="5" t="s">
        <v>61</v>
      </c>
      <c r="AO8" s="7" t="s">
        <v>62</v>
      </c>
      <c r="AP8" s="5" t="s">
        <v>63</v>
      </c>
      <c r="AQ8" s="5" t="s">
        <v>64</v>
      </c>
      <c r="AR8" s="7" t="s">
        <v>65</v>
      </c>
      <c r="AS8" s="5" t="s">
        <v>66</v>
      </c>
      <c r="AT8" s="5" t="s">
        <v>67</v>
      </c>
      <c r="AU8" s="5" t="s">
        <v>68</v>
      </c>
      <c r="AV8" s="5" t="s">
        <v>69</v>
      </c>
      <c r="AW8" s="5" t="s">
        <v>70</v>
      </c>
      <c r="AX8" s="5" t="s">
        <v>71</v>
      </c>
      <c r="AY8" s="5" t="s">
        <v>72</v>
      </c>
      <c r="AZ8" s="7" t="s">
        <v>73</v>
      </c>
      <c r="BA8" s="5" t="s">
        <v>74</v>
      </c>
      <c r="BB8" s="5" t="s">
        <v>75</v>
      </c>
      <c r="BC8" s="5" t="s">
        <v>76</v>
      </c>
      <c r="BD8" s="5" t="s">
        <v>77</v>
      </c>
      <c r="BE8" s="5" t="s">
        <v>78</v>
      </c>
      <c r="BF8" s="5" t="s">
        <v>79</v>
      </c>
      <c r="BG8" s="6" t="s">
        <v>80</v>
      </c>
      <c r="BH8" s="6" t="s">
        <v>81</v>
      </c>
      <c r="BI8" s="5" t="s">
        <v>82</v>
      </c>
      <c r="BJ8" s="5" t="s">
        <v>83</v>
      </c>
      <c r="BK8" s="5" t="s">
        <v>84</v>
      </c>
      <c r="BL8" s="7" t="s">
        <v>85</v>
      </c>
      <c r="BM8" s="5" t="s">
        <v>86</v>
      </c>
      <c r="BN8" s="7" t="s">
        <v>87</v>
      </c>
      <c r="BO8" s="5" t="s">
        <v>88</v>
      </c>
      <c r="BP8" s="7" t="s">
        <v>89</v>
      </c>
      <c r="BQ8" s="5" t="s">
        <v>90</v>
      </c>
      <c r="BR8" s="7" t="s">
        <v>91</v>
      </c>
      <c r="BS8" s="7" t="s">
        <v>92</v>
      </c>
      <c r="BT8" s="7" t="s">
        <v>93</v>
      </c>
      <c r="BU8" s="7" t="s">
        <v>94</v>
      </c>
      <c r="BV8" s="7" t="s">
        <v>95</v>
      </c>
      <c r="BW8" s="7" t="s">
        <v>96</v>
      </c>
      <c r="BX8" s="7" t="s">
        <v>97</v>
      </c>
      <c r="BY8" s="5" t="s">
        <v>98</v>
      </c>
      <c r="BZ8" s="5" t="s">
        <v>99</v>
      </c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</row>
    <row r="9" spans="1:16378" x14ac:dyDescent="0.25">
      <c r="B9" s="9" t="s">
        <v>100</v>
      </c>
      <c r="C9" s="9" t="s">
        <v>101</v>
      </c>
      <c r="D9" s="9" t="s">
        <v>102</v>
      </c>
      <c r="E9" s="9"/>
      <c r="F9" s="10"/>
      <c r="G9" s="9" t="s">
        <v>103</v>
      </c>
      <c r="H9" s="9" t="s">
        <v>104</v>
      </c>
      <c r="I9" s="9" t="s">
        <v>105</v>
      </c>
      <c r="J9" s="9" t="s">
        <v>106</v>
      </c>
      <c r="K9" s="9" t="s">
        <v>107</v>
      </c>
      <c r="L9" s="9" t="s">
        <v>103</v>
      </c>
      <c r="M9" s="9" t="s">
        <v>104</v>
      </c>
      <c r="N9" s="9" t="s">
        <v>105</v>
      </c>
      <c r="O9" s="9" t="s">
        <v>106</v>
      </c>
      <c r="P9" s="9" t="s">
        <v>107</v>
      </c>
      <c r="Q9" s="10" t="s">
        <v>108</v>
      </c>
      <c r="R9" s="9" t="s">
        <v>109</v>
      </c>
      <c r="S9" s="9" t="s">
        <v>107</v>
      </c>
      <c r="T9" s="9" t="s">
        <v>110</v>
      </c>
      <c r="U9" s="9" t="s">
        <v>111</v>
      </c>
      <c r="V9" s="9" t="s">
        <v>107</v>
      </c>
      <c r="W9" s="9" t="s">
        <v>10</v>
      </c>
      <c r="X9" s="9" t="s">
        <v>11</v>
      </c>
      <c r="Y9" s="9" t="s">
        <v>112</v>
      </c>
      <c r="Z9" s="11">
        <v>39526</v>
      </c>
      <c r="AA9" s="11">
        <v>39526</v>
      </c>
      <c r="AB9" s="11">
        <v>41365</v>
      </c>
      <c r="AC9" s="11">
        <v>43191</v>
      </c>
      <c r="AD9" s="9" t="s">
        <v>107</v>
      </c>
      <c r="AE9" s="11">
        <v>40725</v>
      </c>
      <c r="AF9" s="9" t="s">
        <v>107</v>
      </c>
      <c r="AG9" s="12">
        <v>6780</v>
      </c>
      <c r="AH9" s="9" t="s">
        <v>113</v>
      </c>
      <c r="AI9" s="12">
        <v>6780</v>
      </c>
      <c r="AJ9" s="9" t="s">
        <v>114</v>
      </c>
      <c r="AK9" s="9" t="s">
        <v>11</v>
      </c>
      <c r="AL9" s="13">
        <v>0.05</v>
      </c>
      <c r="AM9" s="9" t="s">
        <v>115</v>
      </c>
      <c r="AN9" s="9" t="s">
        <v>107</v>
      </c>
      <c r="AO9" s="14"/>
      <c r="AP9" s="9" t="s">
        <v>115</v>
      </c>
      <c r="AQ9" s="9" t="s">
        <v>107</v>
      </c>
      <c r="AR9" s="14"/>
      <c r="AS9" s="9" t="s">
        <v>116</v>
      </c>
      <c r="AT9" s="9" t="s">
        <v>117</v>
      </c>
      <c r="AU9" s="9" t="s">
        <v>118</v>
      </c>
      <c r="AV9" s="9" t="s">
        <v>119</v>
      </c>
      <c r="AW9" s="9" t="s">
        <v>118</v>
      </c>
      <c r="AX9" s="9" t="s">
        <v>11</v>
      </c>
      <c r="AY9" s="9" t="s">
        <v>120</v>
      </c>
      <c r="AZ9" s="12">
        <v>1</v>
      </c>
      <c r="BA9" s="9" t="s">
        <v>121</v>
      </c>
      <c r="BB9" s="9" t="s">
        <v>107</v>
      </c>
      <c r="BC9" s="9" t="s">
        <v>107</v>
      </c>
      <c r="BD9" s="9" t="s">
        <v>117</v>
      </c>
      <c r="BE9" s="9" t="s">
        <v>122</v>
      </c>
      <c r="BF9" s="9" t="s">
        <v>123</v>
      </c>
      <c r="BG9" s="10" t="s">
        <v>124</v>
      </c>
      <c r="BH9" s="10" t="s">
        <v>125</v>
      </c>
      <c r="BI9" s="9"/>
      <c r="BJ9" s="9" t="s">
        <v>123</v>
      </c>
      <c r="BK9" s="9" t="s">
        <v>126</v>
      </c>
      <c r="BL9" s="13">
        <v>1</v>
      </c>
      <c r="BM9" s="9" t="s">
        <v>127</v>
      </c>
      <c r="BN9" s="14"/>
      <c r="BO9" s="9" t="s">
        <v>127</v>
      </c>
      <c r="BP9" s="14"/>
      <c r="BQ9" s="9" t="s">
        <v>127</v>
      </c>
      <c r="BR9" s="14"/>
      <c r="BS9" s="12">
        <v>1</v>
      </c>
      <c r="BT9" s="15">
        <v>24</v>
      </c>
      <c r="BU9" s="13">
        <v>1</v>
      </c>
      <c r="BV9" s="14"/>
      <c r="BW9" s="14"/>
      <c r="BX9" s="14"/>
      <c r="BY9" s="11">
        <v>42917</v>
      </c>
      <c r="BZ9" s="11">
        <v>2958101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</row>
  </sheetData>
  <hyperlinks>
    <hyperlink ref="C3" r:id="rId1" display="http://www.oregon.gov/Pages/cgi-bin/ccrt.aspx?pg=repr&amp;sec1=OAH" xr:uid="{00000000-0004-0000-0100-000000000000}"/>
    <hyperlink ref="A4" r:id="rId2" xr:uid="{00000000-0004-0000-0100-000001000000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opLeftCell="A19" workbookViewId="0">
      <selection activeCell="D28" sqref="D28"/>
    </sheetView>
  </sheetViews>
  <sheetFormatPr defaultRowHeight="15" x14ac:dyDescent="0.25"/>
  <cols>
    <col min="2" max="2" width="56" bestFit="1" customWidth="1"/>
    <col min="3" max="3" width="16.42578125" bestFit="1" customWidth="1"/>
    <col min="4" max="4" width="13.140625" bestFit="1" customWidth="1"/>
    <col min="5" max="5" width="18.28515625" bestFit="1" customWidth="1"/>
    <col min="7" max="7" width="41.42578125" bestFit="1" customWidth="1"/>
  </cols>
  <sheetData>
    <row r="1" spans="2:5" x14ac:dyDescent="0.25">
      <c r="C1" s="20" t="s">
        <v>135</v>
      </c>
      <c r="D1" s="19"/>
    </row>
    <row r="2" spans="2:5" x14ac:dyDescent="0.25">
      <c r="B2" s="21" t="s">
        <v>134</v>
      </c>
      <c r="C2" s="21"/>
      <c r="D2" s="22">
        <v>5026</v>
      </c>
      <c r="E2" s="21" t="s">
        <v>4</v>
      </c>
    </row>
    <row r="3" spans="2:5" x14ac:dyDescent="0.25">
      <c r="B3" s="21" t="s">
        <v>0</v>
      </c>
      <c r="C3" s="21"/>
      <c r="D3" s="22">
        <f>SUM(D2*12)</f>
        <v>60312</v>
      </c>
      <c r="E3" s="21" t="s">
        <v>5</v>
      </c>
    </row>
    <row r="4" spans="2:5" x14ac:dyDescent="0.25">
      <c r="B4" s="21" t="s">
        <v>132</v>
      </c>
      <c r="C4" s="21"/>
      <c r="D4" s="22">
        <f>SUM(D3*1.49)</f>
        <v>89864.88</v>
      </c>
      <c r="E4" s="21" t="s">
        <v>6</v>
      </c>
    </row>
    <row r="5" spans="2:5" x14ac:dyDescent="0.25">
      <c r="B5" s="21" t="s">
        <v>131</v>
      </c>
      <c r="C5" s="21"/>
      <c r="D5" s="22">
        <f>SUM(D4+5672)</f>
        <v>95536.88</v>
      </c>
      <c r="E5" s="21" t="s">
        <v>1</v>
      </c>
    </row>
    <row r="6" spans="2:5" x14ac:dyDescent="0.25">
      <c r="B6" s="21" t="s">
        <v>2</v>
      </c>
      <c r="C6" s="23">
        <v>0.1</v>
      </c>
      <c r="D6" s="22">
        <f>SUM(D5+(D5*0.1))</f>
        <v>105090.568</v>
      </c>
      <c r="E6" s="21" t="s">
        <v>2</v>
      </c>
    </row>
    <row r="7" spans="2:5" x14ac:dyDescent="0.25">
      <c r="B7" s="21" t="s">
        <v>3</v>
      </c>
      <c r="C7" s="24">
        <v>0.1</v>
      </c>
      <c r="D7" s="22">
        <f>SUM(D6+(D6*0.1))</f>
        <v>115599.62480000001</v>
      </c>
      <c r="E7" s="21" t="s">
        <v>7</v>
      </c>
    </row>
    <row r="8" spans="2:5" x14ac:dyDescent="0.25">
      <c r="B8" s="21" t="s">
        <v>133</v>
      </c>
      <c r="C8" s="21"/>
      <c r="D8" s="25">
        <f>SUM(D7/1640)</f>
        <v>70.487576097560975</v>
      </c>
      <c r="E8" s="26" t="s">
        <v>130</v>
      </c>
    </row>
    <row r="11" spans="2:5" x14ac:dyDescent="0.25">
      <c r="C11" s="20" t="s">
        <v>136</v>
      </c>
    </row>
    <row r="12" spans="2:5" x14ac:dyDescent="0.25">
      <c r="B12" s="21" t="s">
        <v>129</v>
      </c>
      <c r="C12" s="21"/>
      <c r="D12" s="22">
        <v>6780</v>
      </c>
      <c r="E12" s="21" t="s">
        <v>4</v>
      </c>
    </row>
    <row r="13" spans="2:5" x14ac:dyDescent="0.25">
      <c r="B13" s="21" t="s">
        <v>0</v>
      </c>
      <c r="C13" s="21"/>
      <c r="D13" s="22">
        <f>SUM(D12*12)</f>
        <v>81360</v>
      </c>
      <c r="E13" s="21" t="s">
        <v>5</v>
      </c>
    </row>
    <row r="14" spans="2:5" x14ac:dyDescent="0.25">
      <c r="B14" s="21" t="s">
        <v>132</v>
      </c>
      <c r="C14" s="21"/>
      <c r="D14" s="22">
        <f>SUM(D13*1.49)</f>
        <v>121226.4</v>
      </c>
      <c r="E14" s="21" t="s">
        <v>6</v>
      </c>
    </row>
    <row r="15" spans="2:5" x14ac:dyDescent="0.25">
      <c r="B15" s="21" t="s">
        <v>131</v>
      </c>
      <c r="C15" s="21"/>
      <c r="D15" s="22">
        <f>SUM(D14+5672)</f>
        <v>126898.4</v>
      </c>
      <c r="E15" s="21" t="s">
        <v>1</v>
      </c>
    </row>
    <row r="16" spans="2:5" x14ac:dyDescent="0.25">
      <c r="B16" s="21" t="s">
        <v>2</v>
      </c>
      <c r="C16" s="23">
        <v>0.1641</v>
      </c>
      <c r="D16" s="22">
        <f>SUM(D15+(D15*0.1641))</f>
        <v>147722.42744</v>
      </c>
      <c r="E16" s="21" t="s">
        <v>2</v>
      </c>
    </row>
    <row r="17" spans="2:7" x14ac:dyDescent="0.25">
      <c r="B17" s="21" t="s">
        <v>3</v>
      </c>
      <c r="C17" s="24">
        <v>0.1</v>
      </c>
      <c r="D17" s="22">
        <f>SUM(D16+(D16*0.1))</f>
        <v>162494.67018399999</v>
      </c>
      <c r="E17" s="21" t="s">
        <v>7</v>
      </c>
    </row>
    <row r="18" spans="2:7" x14ac:dyDescent="0.25">
      <c r="B18" s="21" t="s">
        <v>133</v>
      </c>
      <c r="C18" s="21"/>
      <c r="D18" s="25">
        <f>SUM(D17/1640)</f>
        <v>99.082115965853646</v>
      </c>
      <c r="E18" s="26" t="s">
        <v>130</v>
      </c>
    </row>
    <row r="19" spans="2:7" x14ac:dyDescent="0.25">
      <c r="D19" s="19"/>
    </row>
    <row r="21" spans="2:7" x14ac:dyDescent="0.25">
      <c r="C21" s="20" t="s">
        <v>141</v>
      </c>
      <c r="G21" s="37" t="s">
        <v>162</v>
      </c>
    </row>
    <row r="22" spans="2:7" x14ac:dyDescent="0.25">
      <c r="B22" s="21" t="s">
        <v>137</v>
      </c>
      <c r="C22" s="21" t="s">
        <v>138</v>
      </c>
      <c r="D22" s="36">
        <v>9148</v>
      </c>
      <c r="E22" s="21" t="s">
        <v>4</v>
      </c>
    </row>
    <row r="23" spans="2:7" x14ac:dyDescent="0.25">
      <c r="B23" s="21" t="s">
        <v>0</v>
      </c>
      <c r="C23" s="21"/>
      <c r="D23" s="22">
        <f>SUM(D22*12)</f>
        <v>109776</v>
      </c>
      <c r="E23" s="21" t="s">
        <v>5</v>
      </c>
    </row>
    <row r="24" spans="2:7" x14ac:dyDescent="0.25">
      <c r="B24" s="21" t="s">
        <v>132</v>
      </c>
      <c r="C24" s="21"/>
      <c r="D24" s="22">
        <f>SUM(D23*1.49)</f>
        <v>163566.24</v>
      </c>
      <c r="E24" s="21" t="s">
        <v>6</v>
      </c>
    </row>
    <row r="25" spans="2:7" x14ac:dyDescent="0.25">
      <c r="B25" s="21" t="s">
        <v>131</v>
      </c>
      <c r="C25" s="21"/>
      <c r="D25" s="22">
        <f>SUM(D24+5672)</f>
        <v>169238.24</v>
      </c>
      <c r="E25" s="21" t="s">
        <v>1</v>
      </c>
    </row>
    <row r="26" spans="2:7" x14ac:dyDescent="0.25">
      <c r="B26" s="21" t="s">
        <v>2</v>
      </c>
      <c r="C26" s="27">
        <v>0.1696</v>
      </c>
      <c r="D26" s="22">
        <f>SUM(D25+(D25*0.1696))</f>
        <v>197941.04550399998</v>
      </c>
      <c r="E26" s="21" t="s">
        <v>2</v>
      </c>
    </row>
    <row r="27" spans="2:7" x14ac:dyDescent="0.25">
      <c r="B27" s="21" t="s">
        <v>3</v>
      </c>
      <c r="C27" s="24">
        <v>0.1</v>
      </c>
      <c r="D27" s="22">
        <f>SUM(D26+(D26*0.1))</f>
        <v>217735.15005439997</v>
      </c>
      <c r="E27" s="21" t="s">
        <v>7</v>
      </c>
    </row>
    <row r="28" spans="2:7" x14ac:dyDescent="0.25">
      <c r="B28" s="21" t="s">
        <v>133</v>
      </c>
      <c r="C28" s="21"/>
      <c r="D28" s="25">
        <f>SUM(D27/1640)</f>
        <v>132.76533539902437</v>
      </c>
      <c r="E28" s="26" t="s">
        <v>130</v>
      </c>
    </row>
    <row r="29" spans="2:7" x14ac:dyDescent="0.25">
      <c r="D29" s="19"/>
    </row>
    <row r="30" spans="2:7" x14ac:dyDescent="0.25">
      <c r="D30" s="19"/>
    </row>
    <row r="31" spans="2:7" x14ac:dyDescent="0.25">
      <c r="D31" s="19"/>
    </row>
    <row r="32" spans="2:7" x14ac:dyDescent="0.25">
      <c r="D32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9984-E3FC-4B6B-A4E9-2691C045C819}">
  <dimension ref="B1:S3"/>
  <sheetViews>
    <sheetView workbookViewId="0">
      <selection activeCell="S18" sqref="S18"/>
    </sheetView>
  </sheetViews>
  <sheetFormatPr defaultRowHeight="15" x14ac:dyDescent="0.25"/>
  <cols>
    <col min="2" max="2" width="7" bestFit="1" customWidth="1"/>
    <col min="3" max="3" width="6.5703125" bestFit="1" customWidth="1"/>
    <col min="4" max="4" width="8.85546875" bestFit="1" customWidth="1"/>
    <col min="5" max="5" width="11.85546875" bestFit="1" customWidth="1"/>
    <col min="6" max="6" width="14.42578125" bestFit="1" customWidth="1"/>
    <col min="7" max="16" width="9" bestFit="1" customWidth="1"/>
    <col min="17" max="18" width="8.5703125" bestFit="1" customWidth="1"/>
    <col min="19" max="19" width="47" style="40" customWidth="1"/>
  </cols>
  <sheetData>
    <row r="1" spans="2:19" ht="15.75" thickBot="1" x14ac:dyDescent="0.3">
      <c r="S1" s="38" t="s">
        <v>160</v>
      </c>
    </row>
    <row r="2" spans="2:19" ht="60" x14ac:dyDescent="0.25">
      <c r="B2" s="28" t="s">
        <v>143</v>
      </c>
      <c r="C2" s="29" t="s">
        <v>144</v>
      </c>
      <c r="D2" s="29" t="s">
        <v>145</v>
      </c>
      <c r="E2" s="29" t="s">
        <v>146</v>
      </c>
      <c r="F2" s="29" t="s">
        <v>147</v>
      </c>
      <c r="G2" s="29" t="s">
        <v>148</v>
      </c>
      <c r="H2" s="29" t="s">
        <v>149</v>
      </c>
      <c r="I2" s="29" t="s">
        <v>150</v>
      </c>
      <c r="J2" s="29" t="s">
        <v>151</v>
      </c>
      <c r="K2" s="29" t="s">
        <v>152</v>
      </c>
      <c r="L2" s="29" t="s">
        <v>153</v>
      </c>
      <c r="M2" s="29" t="s">
        <v>154</v>
      </c>
      <c r="N2" s="29" t="s">
        <v>155</v>
      </c>
      <c r="O2" s="29" t="s">
        <v>156</v>
      </c>
      <c r="P2" s="35" t="s">
        <v>157</v>
      </c>
      <c r="Q2" s="29" t="s">
        <v>158</v>
      </c>
      <c r="R2" s="30" t="s">
        <v>159</v>
      </c>
      <c r="S2" s="39" t="s">
        <v>161</v>
      </c>
    </row>
    <row r="3" spans="2:19" ht="15.75" thickBot="1" x14ac:dyDescent="0.3">
      <c r="B3" s="31" t="s">
        <v>8</v>
      </c>
      <c r="C3" s="32">
        <v>8503</v>
      </c>
      <c r="D3" s="32" t="s">
        <v>10</v>
      </c>
      <c r="E3" s="32" t="s">
        <v>11</v>
      </c>
      <c r="F3" s="32">
        <v>28</v>
      </c>
      <c r="G3" s="33">
        <v>5981</v>
      </c>
      <c r="H3" s="33">
        <v>6263</v>
      </c>
      <c r="I3" s="33">
        <v>6557</v>
      </c>
      <c r="J3" s="33">
        <v>6877</v>
      </c>
      <c r="K3" s="33">
        <v>7210</v>
      </c>
      <c r="L3" s="33">
        <v>7566</v>
      </c>
      <c r="M3" s="33">
        <v>7940</v>
      </c>
      <c r="N3" s="33">
        <v>8319</v>
      </c>
      <c r="O3" s="33">
        <v>8730</v>
      </c>
      <c r="P3" s="41">
        <v>9148</v>
      </c>
      <c r="Q3" s="32" t="s">
        <v>142</v>
      </c>
      <c r="R3" s="34" t="s">
        <v>142</v>
      </c>
    </row>
  </sheetData>
  <hyperlinks>
    <hyperlink ref="S2" r:id="rId1" xr:uid="{D9B5D9F6-E0BF-4B40-BF2F-8B7785922AB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D195-DA29-4A17-A533-457B02E18CA8}">
  <dimension ref="A1"/>
  <sheetViews>
    <sheetView workbookViewId="0">
      <selection activeCell="N16" sqref="N16"/>
    </sheetView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Partner Funding Formula</vt:lpstr>
      <vt:lpstr>2007 Data</vt:lpstr>
      <vt:lpstr>2017 Update </vt:lpstr>
      <vt:lpstr>2017 Reference Data</vt:lpstr>
      <vt:lpstr>2025 Update</vt:lpstr>
      <vt:lpstr>2025 Reference Data</vt:lpstr>
      <vt:lpstr>Partner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J. Fields</dc:creator>
  <cp:lastModifiedBy>FIELDS Anthony J</cp:lastModifiedBy>
  <dcterms:created xsi:type="dcterms:W3CDTF">2017-11-22T19:58:39Z</dcterms:created>
  <dcterms:modified xsi:type="dcterms:W3CDTF">2025-06-25T15:57:48Z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2024-12-31T18:40:51Z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8b029bbc-1c30-4d00-8d46-514cc1774b67</vt:lpwstr>
  </property>
  <property fmtid="{D5CDD505-2E9C-101B-9397-08002B2CF9AE}" pid="8" name="MSIP_Label_ebdd6eeb-0dd0-4927-947e-a759f08fcf55_ContentBits">
    <vt:lpwstr>0</vt:lpwstr>
  </property>
</Properties>
</file>