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hsoha-my.sharepoint.com/personal/anthony_j_fields_oha_oregon_gov/Documents/Desktop/"/>
    </mc:Choice>
  </mc:AlternateContent>
  <xr:revisionPtr revIDLastSave="0" documentId="8_{F9CB1E10-1F52-40BA-A54D-150438729614}" xr6:coauthVersionLast="47" xr6:coauthVersionMax="47" xr10:uidLastSave="{00000000-0000-0000-0000-000000000000}"/>
  <bookViews>
    <workbookView xWindow="-120" yWindow="-120" windowWidth="24240" windowHeight="13140" xr2:uid="{D5327D41-3D1C-4E31-BA93-3CEAB055D30D}"/>
  </bookViews>
  <sheets>
    <sheet name="FY26 Award Alloca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G28" i="1"/>
  <c r="F28" i="1"/>
  <c r="D31" i="1"/>
  <c r="D32" i="1" s="1"/>
  <c r="D28" i="1"/>
  <c r="N27" i="1"/>
  <c r="J27" i="1"/>
  <c r="K27" i="1" s="1"/>
  <c r="C27" i="1"/>
  <c r="E27" i="1" s="1"/>
  <c r="J26" i="1"/>
  <c r="K26" i="1" s="1"/>
  <c r="E26" i="1"/>
  <c r="J25" i="1"/>
  <c r="E25" i="1"/>
  <c r="B25" i="1"/>
  <c r="K25" i="1" s="1"/>
  <c r="J24" i="1"/>
  <c r="K24" i="1" s="1"/>
  <c r="E24" i="1"/>
  <c r="J23" i="1"/>
  <c r="K23" i="1" s="1"/>
  <c r="E23" i="1"/>
  <c r="B23" i="1"/>
  <c r="E22" i="1"/>
  <c r="B21" i="1"/>
  <c r="N20" i="1"/>
  <c r="J20" i="1"/>
  <c r="K20" i="1" s="1"/>
  <c r="E20" i="1"/>
  <c r="N19" i="1"/>
  <c r="J19" i="1"/>
  <c r="K19" i="1" s="1"/>
  <c r="E19" i="1"/>
  <c r="B18" i="1"/>
  <c r="J17" i="1"/>
  <c r="K17" i="1" s="1"/>
  <c r="E17" i="1"/>
  <c r="J16" i="1"/>
  <c r="K16" i="1" s="1"/>
  <c r="E16" i="1"/>
  <c r="C15" i="1"/>
  <c r="E15" i="1" s="1"/>
  <c r="N14" i="1"/>
  <c r="J14" i="1"/>
  <c r="K14" i="1" s="1"/>
  <c r="E14" i="1"/>
  <c r="J13" i="1"/>
  <c r="K13" i="1" s="1"/>
  <c r="E13" i="1"/>
  <c r="N12" i="1"/>
  <c r="J12" i="1"/>
  <c r="K12" i="1" s="1"/>
  <c r="C12" i="1"/>
  <c r="E12" i="1" s="1"/>
  <c r="J11" i="1"/>
  <c r="K11" i="1" s="1"/>
  <c r="C11" i="1"/>
  <c r="E11" i="1" s="1"/>
  <c r="J10" i="1"/>
  <c r="K10" i="1" s="1"/>
  <c r="E10" i="1"/>
  <c r="J9" i="1"/>
  <c r="K9" i="1" s="1"/>
  <c r="E9" i="1"/>
  <c r="J8" i="1"/>
  <c r="K8" i="1" s="1"/>
  <c r="E8" i="1"/>
  <c r="J7" i="1"/>
  <c r="K7" i="1" s="1"/>
  <c r="E7" i="1"/>
  <c r="C6" i="1"/>
  <c r="C28" i="1" s="1"/>
  <c r="J4" i="1"/>
  <c r="S8" i="1" l="1"/>
  <c r="J6" i="1"/>
  <c r="N15" i="1"/>
  <c r="N13" i="1"/>
  <c r="N23" i="1"/>
  <c r="N7" i="1"/>
  <c r="N24" i="1"/>
  <c r="N16" i="1"/>
  <c r="E21" i="1"/>
  <c r="J22" i="1"/>
  <c r="K22" i="1" s="1"/>
  <c r="B28" i="1"/>
  <c r="N10" i="1"/>
  <c r="E6" i="1"/>
  <c r="J15" i="1"/>
  <c r="K15" i="1" s="1"/>
  <c r="I28" i="1"/>
  <c r="N8" i="1"/>
  <c r="N17" i="1"/>
  <c r="N25" i="1"/>
  <c r="E18" i="1"/>
  <c r="N11" i="1"/>
  <c r="N26" i="1"/>
  <c r="N22" i="1" l="1"/>
  <c r="M28" i="1"/>
  <c r="S13" i="1" s="1"/>
  <c r="E28" i="1"/>
  <c r="J21" i="1"/>
  <c r="K21" i="1" s="1"/>
  <c r="T8" i="1"/>
  <c r="U8" i="1" s="1"/>
  <c r="N9" i="1"/>
  <c r="H28" i="1"/>
  <c r="S9" i="1" s="1"/>
  <c r="L28" i="1"/>
  <c r="S12" i="1" s="1"/>
  <c r="N21" i="1"/>
  <c r="N6" i="1"/>
  <c r="N18" i="1"/>
  <c r="J18" i="1"/>
  <c r="K18" i="1" s="1"/>
  <c r="S7" i="1"/>
  <c r="K6" i="1"/>
  <c r="T14" i="1" l="1"/>
  <c r="U14" i="1" s="1"/>
  <c r="N28" i="1"/>
  <c r="J28" i="1"/>
  <c r="K28" i="1" s="1"/>
  <c r="T10" i="1"/>
  <c r="U10" i="1" s="1"/>
  <c r="U9" i="1"/>
  <c r="T11" i="1"/>
  <c r="U11" i="1" s="1"/>
  <c r="T13" i="1"/>
  <c r="U13" i="1" s="1"/>
  <c r="U12" i="1"/>
  <c r="T7" i="1"/>
  <c r="S15" i="1"/>
  <c r="T15" i="1" l="1"/>
  <c r="U7" i="1"/>
  <c r="U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CLARK MICHAEL</author>
  </authors>
  <commentList>
    <comment ref="P9" authorId="0" shapeId="0" xr:uid="{3ACCC80B-50FF-4D97-BC97-AA291ADDDC1F}">
      <text>
        <r>
          <rPr>
            <b/>
            <sz val="9"/>
            <color indexed="81"/>
            <rFont val="Tahoma"/>
            <charset val="1"/>
          </rPr>
          <t>CLARK MICHAEL:</t>
        </r>
        <r>
          <rPr>
            <sz val="9"/>
            <color indexed="81"/>
            <rFont val="Tahoma"/>
            <charset val="1"/>
          </rPr>
          <t xml:space="preserve">
3/24 - 2/27</t>
        </r>
      </text>
    </comment>
    <comment ref="P10" authorId="0" shapeId="0" xr:uid="{6ADF1B50-9C44-45DF-8A37-14934B60FA35}">
      <text>
        <r>
          <rPr>
            <b/>
            <sz val="9"/>
            <color indexed="81"/>
            <rFont val="Tahoma"/>
            <charset val="1"/>
          </rPr>
          <t>CLARK MICHAEL:</t>
        </r>
        <r>
          <rPr>
            <sz val="9"/>
            <color indexed="81"/>
            <rFont val="Tahoma"/>
            <charset val="1"/>
          </rPr>
          <t xml:space="preserve">
3/24 - 2/27</t>
        </r>
      </text>
    </comment>
    <comment ref="P11" authorId="0" shapeId="0" xr:uid="{773E9E26-9349-4A70-B1E1-708217C15137}">
      <text>
        <r>
          <rPr>
            <b/>
            <sz val="9"/>
            <color indexed="81"/>
            <rFont val="Tahoma"/>
            <charset val="1"/>
          </rPr>
          <t>CLARK MICHAEL:</t>
        </r>
        <r>
          <rPr>
            <sz val="9"/>
            <color indexed="81"/>
            <rFont val="Tahoma"/>
            <charset val="1"/>
          </rPr>
          <t xml:space="preserve">
10/24 - 9/25</t>
        </r>
      </text>
    </comment>
    <comment ref="P12" authorId="0" shapeId="0" xr:uid="{6157092C-6010-4635-9DAB-A11B321F6C52}">
      <text>
        <r>
          <rPr>
            <b/>
            <sz val="9"/>
            <color indexed="81"/>
            <rFont val="Tahoma"/>
            <charset val="1"/>
          </rPr>
          <t>CLARK MICHAEL:</t>
        </r>
        <r>
          <rPr>
            <sz val="9"/>
            <color indexed="81"/>
            <rFont val="Tahoma"/>
            <charset val="1"/>
          </rPr>
          <t xml:space="preserve">
10/25 - 9/26
</t>
        </r>
      </text>
    </comment>
    <comment ref="P13" authorId="0" shapeId="0" xr:uid="{F9453D57-63B0-46EF-9C4E-78A1228E566D}">
      <text>
        <r>
          <rPr>
            <b/>
            <sz val="9"/>
            <color indexed="81"/>
            <rFont val="Tahoma"/>
            <charset val="1"/>
          </rPr>
          <t>CLARK MICHAEL:</t>
        </r>
        <r>
          <rPr>
            <sz val="9"/>
            <color indexed="81"/>
            <rFont val="Tahoma"/>
            <charset val="1"/>
          </rPr>
          <t xml:space="preserve">
10/26 - 9/27
</t>
        </r>
      </text>
    </comment>
  </commentList>
</comments>
</file>

<file path=xl/sharedStrings.xml><?xml version="1.0" encoding="utf-8"?>
<sst xmlns="http://schemas.openxmlformats.org/spreadsheetml/2006/main" count="92" uniqueCount="80">
  <si>
    <t>OF</t>
  </si>
  <si>
    <t>GF</t>
  </si>
  <si>
    <t>LPHA Name</t>
  </si>
  <si>
    <t>Total</t>
  </si>
  <si>
    <t>BENTON</t>
  </si>
  <si>
    <t>CLACKAMAS</t>
  </si>
  <si>
    <t>COLUMBIA</t>
  </si>
  <si>
    <t>COOS</t>
  </si>
  <si>
    <t>CROOK</t>
  </si>
  <si>
    <t>DESCHUTES</t>
  </si>
  <si>
    <t>DOUGLAS</t>
  </si>
  <si>
    <t>HOOD RIVER</t>
  </si>
  <si>
    <t>JACKSON</t>
  </si>
  <si>
    <t>JEFFERSON</t>
  </si>
  <si>
    <t>JOSEPHINE</t>
  </si>
  <si>
    <t>KLAMATH</t>
  </si>
  <si>
    <t>LANE</t>
  </si>
  <si>
    <t>LINN</t>
  </si>
  <si>
    <t>MARION</t>
  </si>
  <si>
    <t>MULTNOMAH</t>
  </si>
  <si>
    <t>NCPHD</t>
  </si>
  <si>
    <t>POLK</t>
  </si>
  <si>
    <t>TILLAMOOK</t>
  </si>
  <si>
    <t>UNION</t>
  </si>
  <si>
    <t>WASHINGTON</t>
  </si>
  <si>
    <t>YAMHILL</t>
  </si>
  <si>
    <t xml:space="preserve">TOTAL AWARD </t>
  </si>
  <si>
    <t>Verify</t>
  </si>
  <si>
    <t>3 Mo PCA 51331; 9 Mo PCA TBD1</t>
  </si>
  <si>
    <t>PCA</t>
  </si>
  <si>
    <t>TBD1</t>
  </si>
  <si>
    <t>SFY26 Allocation by Grant Fund Type</t>
  </si>
  <si>
    <t>FF-Primacy Detail</t>
  </si>
  <si>
    <t>FF - SRF</t>
  </si>
  <si>
    <t>FF-Primacy</t>
  </si>
  <si>
    <t>3 Mo</t>
  </si>
  <si>
    <t>9 Mo</t>
  </si>
  <si>
    <t>10/1/24-9/30/25</t>
  </si>
  <si>
    <t>FY26</t>
  </si>
  <si>
    <t>FY27</t>
  </si>
  <si>
    <t>AY 27 Total</t>
  </si>
  <si>
    <t>SFY26</t>
  </si>
  <si>
    <t>7/1/25-6/30/26</t>
  </si>
  <si>
    <t>Initial Award</t>
  </si>
  <si>
    <t>Total
Bienium Award</t>
  </si>
  <si>
    <t>Var.</t>
  </si>
  <si>
    <t>DWS General Funds</t>
  </si>
  <si>
    <t>Annual Water System Fee (DWSS)</t>
  </si>
  <si>
    <t>SRF Grant (Federal)</t>
  </si>
  <si>
    <t>Primacy Grant (Federal)</t>
  </si>
  <si>
    <t>Total per LPHA</t>
  </si>
  <si>
    <t>AY27</t>
  </si>
  <si>
    <t>Grant Name (No.-Phase)</t>
  </si>
  <si>
    <t>SFY27</t>
  </si>
  <si>
    <t>Budget</t>
  </si>
  <si>
    <t>Notes</t>
  </si>
  <si>
    <t>DWS GF (399000-27)</t>
  </si>
  <si>
    <t>N/A</t>
  </si>
  <si>
    <t>DWS OF (480455-27)</t>
  </si>
  <si>
    <t>12 mon</t>
  </si>
  <si>
    <t>SRF (280655-23)</t>
  </si>
  <si>
    <t>FY26 12 months</t>
  </si>
  <si>
    <t>8 mon</t>
  </si>
  <si>
    <t>FY27 8 months</t>
  </si>
  <si>
    <t>4 mon</t>
  </si>
  <si>
    <t>SRF TBD</t>
  </si>
  <si>
    <t>FY27 4 months</t>
  </si>
  <si>
    <t>Primacy (280557-25)</t>
  </si>
  <si>
    <t>FY26 3 months</t>
  </si>
  <si>
    <t>9 mon</t>
  </si>
  <si>
    <t>Primacy (280557-26)</t>
  </si>
  <si>
    <t>TBD 1</t>
  </si>
  <si>
    <t>FY26 9 months; FY27 3 months</t>
  </si>
  <si>
    <t>Primacy (280557-27)</t>
  </si>
  <si>
    <t>TBD 2</t>
  </si>
  <si>
    <t>FY27 9 months</t>
  </si>
  <si>
    <t>AY25 Award</t>
  </si>
  <si>
    <t>5% COLA</t>
  </si>
  <si>
    <t>AY27 Award</t>
  </si>
  <si>
    <t>Adjustments due to 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</si>
</sst>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1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9" fontId="0" fillId="0" borderId="10" xfId="0" applyNumberFormat="1" applyBorder="1"/>
    <xf numFmtId="9" fontId="0" fillId="0" borderId="1" xfId="0" applyNumberFormat="1" applyBorder="1"/>
    <xf numFmtId="2" fontId="0" fillId="0" borderId="0" xfId="0" applyNumberFormat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wrapText="1"/>
    </xf>
    <xf numFmtId="0" fontId="2" fillId="0" borderId="0" xfId="0" applyFont="1"/>
    <xf numFmtId="0" fontId="2" fillId="0" borderId="1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17" xfId="0" applyBorder="1"/>
    <xf numFmtId="43" fontId="0" fillId="0" borderId="17" xfId="0" applyNumberFormat="1" applyBorder="1"/>
    <xf numFmtId="8" fontId="0" fillId="3" borderId="17" xfId="0" applyNumberFormat="1" applyFill="1" applyBorder="1"/>
    <xf numFmtId="43" fontId="0" fillId="0" borderId="0" xfId="0" applyNumberFormat="1"/>
    <xf numFmtId="8" fontId="0" fillId="0" borderId="17" xfId="0" applyNumberFormat="1" applyBorder="1"/>
    <xf numFmtId="43" fontId="0" fillId="0" borderId="1" xfId="0" applyNumberForma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8" fontId="0" fillId="0" borderId="1" xfId="0" applyNumberFormat="1" applyBorder="1"/>
    <xf numFmtId="43" fontId="0" fillId="3" borderId="1" xfId="0" applyNumberFormat="1" applyFill="1" applyBorder="1"/>
    <xf numFmtId="9" fontId="0" fillId="0" borderId="0" xfId="0" applyNumberFormat="1"/>
    <xf numFmtId="8" fontId="0" fillId="0" borderId="1" xfId="1" applyNumberFormat="1" applyFont="1" applyBorder="1"/>
    <xf numFmtId="8" fontId="0" fillId="3" borderId="1" xfId="1" applyNumberFormat="1" applyFont="1" applyFill="1" applyBorder="1"/>
    <xf numFmtId="44" fontId="0" fillId="0" borderId="1" xfId="1" applyFont="1" applyBorder="1"/>
    <xf numFmtId="8" fontId="0" fillId="3" borderId="1" xfId="0" applyNumberFormat="1" applyFill="1" applyBorder="1"/>
    <xf numFmtId="43" fontId="2" fillId="0" borderId="1" xfId="0" applyNumberFormat="1" applyFont="1" applyBorder="1"/>
    <xf numFmtId="0" fontId="2" fillId="0" borderId="13" xfId="0" applyFont="1" applyBorder="1" applyAlignment="1">
      <alignment horizontal="right"/>
    </xf>
    <xf numFmtId="0" fontId="0" fillId="0" borderId="14" xfId="0" applyBorder="1"/>
    <xf numFmtId="44" fontId="2" fillId="0" borderId="14" xfId="1" applyFont="1" applyBorder="1"/>
    <xf numFmtId="43" fontId="2" fillId="0" borderId="14" xfId="0" applyNumberFormat="1" applyFont="1" applyBorder="1"/>
    <xf numFmtId="0" fontId="0" fillId="0" borderId="15" xfId="0" applyBorder="1"/>
    <xf numFmtId="0" fontId="2" fillId="0" borderId="1" xfId="0" applyFont="1" applyBorder="1" applyAlignment="1">
      <alignment horizontal="right"/>
    </xf>
    <xf numFmtId="44" fontId="2" fillId="0" borderId="1" xfId="0" applyNumberFormat="1" applyFont="1" applyBorder="1"/>
    <xf numFmtId="8" fontId="2" fillId="0" borderId="1" xfId="0" applyNumberFormat="1" applyFont="1" applyBorder="1"/>
    <xf numFmtId="44" fontId="2" fillId="4" borderId="1" xfId="0" applyNumberFormat="1" applyFont="1" applyFill="1" applyBorder="1"/>
    <xf numFmtId="8" fontId="2" fillId="4" borderId="1" xfId="0" applyNumberFormat="1" applyFont="1" applyFill="1" applyBorder="1"/>
    <xf numFmtId="44" fontId="0" fillId="0" borderId="0" xfId="0" applyNumberFormat="1"/>
    <xf numFmtId="44" fontId="0" fillId="0" borderId="0" xfId="1" applyFont="1"/>
    <xf numFmtId="8" fontId="0" fillId="0" borderId="0" xfId="0" applyNumberFormat="1"/>
    <xf numFmtId="44" fontId="0" fillId="4" borderId="0" xfId="0" applyNumberFormat="1" applyFill="1"/>
    <xf numFmtId="0" fontId="0" fillId="3" borderId="0" xfId="0" applyFill="1"/>
    <xf numFmtId="0" fontId="2" fillId="0" borderId="18" xfId="0" applyFont="1" applyBorder="1" applyAlignment="1">
      <alignment wrapText="1"/>
    </xf>
    <xf numFmtId="44" fontId="5" fillId="0" borderId="1" xfId="0" applyNumberFormat="1" applyFont="1" applyBorder="1"/>
    <xf numFmtId="8" fontId="0" fillId="0" borderId="17" xfId="0" applyNumberFormat="1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3AF8-5000-47CE-AE26-9AF1D820C652}">
  <dimension ref="A1:W34"/>
  <sheetViews>
    <sheetView tabSelected="1" workbookViewId="0">
      <selection activeCell="O13" sqref="O13"/>
    </sheetView>
  </sheetViews>
  <sheetFormatPr defaultRowHeight="15" x14ac:dyDescent="0.25"/>
  <cols>
    <col min="1" max="1" width="17.28515625" bestFit="1" customWidth="1"/>
    <col min="2" max="4" width="14.28515625" customWidth="1"/>
    <col min="5" max="5" width="8.42578125" bestFit="1" customWidth="1"/>
    <col min="6" max="6" width="14.28515625" bestFit="1" customWidth="1"/>
    <col min="7" max="7" width="13.42578125" bestFit="1" customWidth="1"/>
    <col min="8" max="10" width="14.28515625" bestFit="1" customWidth="1"/>
    <col min="11" max="11" width="14" bestFit="1" customWidth="1"/>
    <col min="12" max="13" width="13.28515625" customWidth="1"/>
    <col min="14" max="14" width="11.5703125" bestFit="1" customWidth="1"/>
    <col min="15" max="15" width="13.28515625" customWidth="1"/>
    <col min="17" max="17" width="23.140625" bestFit="1" customWidth="1"/>
    <col min="19" max="19" width="13.85546875" bestFit="1" customWidth="1"/>
    <col min="20" max="21" width="14.28515625" bestFit="1" customWidth="1"/>
    <col min="22" max="22" width="11.5703125" bestFit="1" customWidth="1"/>
    <col min="23" max="23" width="26.5703125" bestFit="1" customWidth="1"/>
  </cols>
  <sheetData>
    <row r="1" spans="1:23" ht="15.75" thickBot="1" x14ac:dyDescent="0.3">
      <c r="F1" s="1">
        <v>51283</v>
      </c>
      <c r="G1" s="1">
        <v>51058</v>
      </c>
      <c r="H1" s="1">
        <v>51754</v>
      </c>
      <c r="I1" s="1" t="s">
        <v>28</v>
      </c>
      <c r="K1" t="s">
        <v>29</v>
      </c>
      <c r="L1" s="2">
        <v>51331</v>
      </c>
      <c r="M1" s="3" t="s">
        <v>30</v>
      </c>
    </row>
    <row r="2" spans="1:23" ht="15.75" thickBot="1" x14ac:dyDescent="0.3">
      <c r="F2" s="57" t="s">
        <v>31</v>
      </c>
      <c r="G2" s="58"/>
      <c r="H2" s="58"/>
      <c r="I2" s="58"/>
      <c r="J2" s="59"/>
      <c r="L2" s="4" t="s">
        <v>32</v>
      </c>
      <c r="M2" s="5"/>
    </row>
    <row r="3" spans="1:23" x14ac:dyDescent="0.25">
      <c r="A3" s="6"/>
      <c r="B3" s="7"/>
      <c r="C3" s="7"/>
      <c r="D3" s="8"/>
      <c r="F3" s="9" t="s">
        <v>1</v>
      </c>
      <c r="G3" s="10" t="s">
        <v>0</v>
      </c>
      <c r="H3" s="10" t="s">
        <v>33</v>
      </c>
      <c r="I3" s="10" t="s">
        <v>34</v>
      </c>
      <c r="J3" s="11"/>
      <c r="L3" s="10" t="s">
        <v>35</v>
      </c>
      <c r="M3" s="10" t="s">
        <v>36</v>
      </c>
      <c r="Q3" t="s">
        <v>37</v>
      </c>
    </row>
    <row r="4" spans="1:23" x14ac:dyDescent="0.25">
      <c r="A4" s="12"/>
      <c r="B4" s="10" t="s">
        <v>38</v>
      </c>
      <c r="C4" s="10" t="s">
        <v>39</v>
      </c>
      <c r="D4" s="11" t="s">
        <v>40</v>
      </c>
      <c r="F4" s="13">
        <v>0.3</v>
      </c>
      <c r="G4" s="14">
        <v>0.1</v>
      </c>
      <c r="H4" s="14">
        <v>0.3</v>
      </c>
      <c r="I4" s="14">
        <v>0.3</v>
      </c>
      <c r="J4" s="14">
        <f>SUM(F4:I4)</f>
        <v>1</v>
      </c>
      <c r="L4" s="2"/>
      <c r="M4" s="3"/>
      <c r="N4" s="15"/>
      <c r="O4" s="15"/>
      <c r="P4" t="s">
        <v>41</v>
      </c>
      <c r="Q4" t="s">
        <v>42</v>
      </c>
    </row>
    <row r="5" spans="1:23" s="19" customFormat="1" ht="45.75" thickBot="1" x14ac:dyDescent="0.3">
      <c r="A5" s="16" t="s">
        <v>2</v>
      </c>
      <c r="B5" s="17" t="s">
        <v>43</v>
      </c>
      <c r="C5" s="17" t="s">
        <v>43</v>
      </c>
      <c r="D5" s="18" t="s">
        <v>44</v>
      </c>
      <c r="E5" s="19" t="s">
        <v>45</v>
      </c>
      <c r="F5" s="54" t="s">
        <v>46</v>
      </c>
      <c r="G5" s="21" t="s">
        <v>47</v>
      </c>
      <c r="H5" s="21" t="s">
        <v>48</v>
      </c>
      <c r="I5" s="20" t="s">
        <v>49</v>
      </c>
      <c r="J5" s="18" t="s">
        <v>50</v>
      </c>
      <c r="K5" s="19" t="s">
        <v>45</v>
      </c>
      <c r="L5" s="21" t="s">
        <v>49</v>
      </c>
      <c r="M5" s="21" t="s">
        <v>49</v>
      </c>
      <c r="N5" s="19" t="s">
        <v>27</v>
      </c>
      <c r="Q5"/>
      <c r="R5"/>
      <c r="S5"/>
      <c r="T5"/>
      <c r="U5"/>
      <c r="V5"/>
      <c r="W5"/>
    </row>
    <row r="6" spans="1:23" x14ac:dyDescent="0.25">
      <c r="A6" s="22" t="s">
        <v>4</v>
      </c>
      <c r="B6" s="23">
        <v>43149.23</v>
      </c>
      <c r="C6" s="24">
        <f>43149.23-0.01</f>
        <v>43149.22</v>
      </c>
      <c r="D6" s="23">
        <v>86298.45</v>
      </c>
      <c r="E6" s="25">
        <f>(B6+C6)-D6</f>
        <v>0</v>
      </c>
      <c r="F6" s="55">
        <v>12944.77</v>
      </c>
      <c r="G6" s="55">
        <v>4314.92</v>
      </c>
      <c r="H6" s="55">
        <v>12944.77</v>
      </c>
      <c r="I6" s="26">
        <v>12944.77</v>
      </c>
      <c r="J6" s="26">
        <f>SUM(F6:I6)</f>
        <v>43149.23</v>
      </c>
      <c r="K6" s="25">
        <f>B6-J6</f>
        <v>0</v>
      </c>
      <c r="L6" s="55">
        <v>3236.19</v>
      </c>
      <c r="M6" s="55">
        <v>9708.58</v>
      </c>
      <c r="N6" s="25">
        <f>SUM(L6:M6)-I6</f>
        <v>0</v>
      </c>
      <c r="O6" s="25"/>
      <c r="P6" t="s">
        <v>51</v>
      </c>
      <c r="Q6" s="28" t="s">
        <v>52</v>
      </c>
      <c r="R6" s="29" t="s">
        <v>29</v>
      </c>
      <c r="S6" s="29" t="s">
        <v>41</v>
      </c>
      <c r="T6" s="29" t="s">
        <v>53</v>
      </c>
      <c r="U6" s="29" t="s">
        <v>3</v>
      </c>
      <c r="V6" s="29" t="s">
        <v>54</v>
      </c>
      <c r="W6" s="30" t="s">
        <v>55</v>
      </c>
    </row>
    <row r="7" spans="1:23" x14ac:dyDescent="0.25">
      <c r="A7" s="10" t="s">
        <v>5</v>
      </c>
      <c r="B7" s="27">
        <v>211457.4</v>
      </c>
      <c r="C7" s="31">
        <v>211457.4</v>
      </c>
      <c r="D7" s="23">
        <v>422914.8</v>
      </c>
      <c r="E7" s="25">
        <f t="shared" ref="E7:E28" si="0">(B7+C7)-D7</f>
        <v>0</v>
      </c>
      <c r="F7" s="55">
        <v>63437.22</v>
      </c>
      <c r="G7" s="55">
        <v>21145.74</v>
      </c>
      <c r="H7" s="55">
        <v>63437.22</v>
      </c>
      <c r="I7" s="26">
        <v>63437.22</v>
      </c>
      <c r="J7" s="31">
        <f t="shared" ref="J7:J27" si="1">SUM(F7:I7)</f>
        <v>211457.4</v>
      </c>
      <c r="K7" s="25">
        <f>B7-J7</f>
        <v>0</v>
      </c>
      <c r="L7" s="55">
        <v>15859.3</v>
      </c>
      <c r="M7" s="55">
        <v>47577.919999999998</v>
      </c>
      <c r="N7" s="25">
        <f t="shared" ref="N7:N28" si="2">SUM(L7:M7)-I7</f>
        <v>0</v>
      </c>
      <c r="O7" s="25"/>
      <c r="P7" s="33">
        <v>0.3</v>
      </c>
      <c r="Q7" s="9" t="s">
        <v>56</v>
      </c>
      <c r="R7" s="10">
        <v>51283</v>
      </c>
      <c r="S7" s="34">
        <f>F28</f>
        <v>508957.00000000006</v>
      </c>
      <c r="T7" s="35">
        <f>S7-0.01</f>
        <v>508956.99000000005</v>
      </c>
      <c r="U7" s="36">
        <f>SUM(S7:T7)</f>
        <v>1017913.9900000001</v>
      </c>
      <c r="V7" s="27" t="s">
        <v>57</v>
      </c>
      <c r="W7" s="11" t="s">
        <v>51</v>
      </c>
    </row>
    <row r="8" spans="1:23" x14ac:dyDescent="0.25">
      <c r="A8" s="10" t="s">
        <v>6</v>
      </c>
      <c r="B8" s="27">
        <v>61042.8</v>
      </c>
      <c r="C8" s="31">
        <v>61042.8</v>
      </c>
      <c r="D8" s="23">
        <v>122085.6</v>
      </c>
      <c r="E8" s="25">
        <f t="shared" si="0"/>
        <v>0</v>
      </c>
      <c r="F8" s="55">
        <v>18312.84</v>
      </c>
      <c r="G8" s="55">
        <v>6104.28</v>
      </c>
      <c r="H8" s="55">
        <v>18312.84</v>
      </c>
      <c r="I8" s="26">
        <v>18312.84</v>
      </c>
      <c r="J8" s="31">
        <f t="shared" si="1"/>
        <v>61042.8</v>
      </c>
      <c r="K8" s="25">
        <f t="shared" ref="K8:K27" si="3">B8-J8</f>
        <v>0</v>
      </c>
      <c r="L8" s="55">
        <v>4578.21</v>
      </c>
      <c r="M8" s="55">
        <v>13734.63</v>
      </c>
      <c r="N8" s="25">
        <f t="shared" si="2"/>
        <v>0</v>
      </c>
      <c r="O8" s="25"/>
      <c r="P8" s="33">
        <v>0.1</v>
      </c>
      <c r="Q8" s="9" t="s">
        <v>58</v>
      </c>
      <c r="R8" s="10">
        <v>51058</v>
      </c>
      <c r="S8" s="36">
        <f>G28</f>
        <v>169652.33000000002</v>
      </c>
      <c r="T8" s="36">
        <f>S8</f>
        <v>169652.33000000002</v>
      </c>
      <c r="U8" s="36">
        <f t="shared" ref="U8:U13" si="4">SUM(S8:T8)</f>
        <v>339304.66000000003</v>
      </c>
      <c r="V8" s="27" t="s">
        <v>57</v>
      </c>
      <c r="W8" s="11" t="s">
        <v>51</v>
      </c>
    </row>
    <row r="9" spans="1:23" x14ac:dyDescent="0.25">
      <c r="A9" s="10" t="s">
        <v>7</v>
      </c>
      <c r="B9" s="27">
        <v>26849.55</v>
      </c>
      <c r="C9" s="31">
        <v>26849.55</v>
      </c>
      <c r="D9" s="23">
        <v>53699.1</v>
      </c>
      <c r="E9" s="25">
        <f t="shared" si="0"/>
        <v>0</v>
      </c>
      <c r="F9" s="55">
        <v>8054.85</v>
      </c>
      <c r="G9" s="55">
        <v>2684.96</v>
      </c>
      <c r="H9" s="55">
        <v>8054.87</v>
      </c>
      <c r="I9" s="26">
        <v>8054.87</v>
      </c>
      <c r="J9" s="31">
        <f>SUM(F9:I9)</f>
        <v>26849.55</v>
      </c>
      <c r="K9" s="25">
        <f>B9-J9</f>
        <v>0</v>
      </c>
      <c r="L9" s="55">
        <v>2013.72</v>
      </c>
      <c r="M9" s="55">
        <v>6041.15</v>
      </c>
      <c r="N9" s="25">
        <f t="shared" si="2"/>
        <v>0</v>
      </c>
      <c r="O9" s="25"/>
      <c r="P9" s="33" t="s">
        <v>59</v>
      </c>
      <c r="Q9" s="9" t="s">
        <v>60</v>
      </c>
      <c r="R9" s="10">
        <v>51754</v>
      </c>
      <c r="S9" s="36">
        <f>H28</f>
        <v>508956.99999999994</v>
      </c>
      <c r="T9" s="36"/>
      <c r="U9" s="36">
        <f t="shared" si="4"/>
        <v>508956.99999999994</v>
      </c>
      <c r="V9" s="27"/>
      <c r="W9" s="11" t="s">
        <v>61</v>
      </c>
    </row>
    <row r="10" spans="1:23" x14ac:dyDescent="0.25">
      <c r="A10" s="10" t="s">
        <v>8</v>
      </c>
      <c r="B10" s="27">
        <v>40665.449999999997</v>
      </c>
      <c r="C10" s="31">
        <v>40665.449999999997</v>
      </c>
      <c r="D10" s="23">
        <v>81330.899999999994</v>
      </c>
      <c r="E10" s="25">
        <f t="shared" si="0"/>
        <v>0</v>
      </c>
      <c r="F10" s="55">
        <v>12199.62</v>
      </c>
      <c r="G10" s="55">
        <v>4066.55</v>
      </c>
      <c r="H10" s="55">
        <v>12199.64</v>
      </c>
      <c r="I10" s="26">
        <v>12199.64</v>
      </c>
      <c r="J10" s="31">
        <f t="shared" si="1"/>
        <v>40665.449999999997</v>
      </c>
      <c r="K10" s="25">
        <f t="shared" si="3"/>
        <v>0</v>
      </c>
      <c r="L10" s="55">
        <v>3049.91</v>
      </c>
      <c r="M10" s="55">
        <v>9149.73</v>
      </c>
      <c r="N10" s="25">
        <f t="shared" si="2"/>
        <v>0</v>
      </c>
      <c r="O10" s="25"/>
      <c r="P10" s="33" t="s">
        <v>62</v>
      </c>
      <c r="Q10" s="9" t="s">
        <v>60</v>
      </c>
      <c r="R10" s="10">
        <v>51754</v>
      </c>
      <c r="S10" s="36"/>
      <c r="T10" s="36">
        <f>S9*(8/12)</f>
        <v>339304.66666666663</v>
      </c>
      <c r="U10" s="36">
        <f t="shared" si="4"/>
        <v>339304.66666666663</v>
      </c>
      <c r="V10" s="27"/>
      <c r="W10" s="11" t="s">
        <v>63</v>
      </c>
    </row>
    <row r="11" spans="1:23" x14ac:dyDescent="0.25">
      <c r="A11" s="10" t="s">
        <v>9</v>
      </c>
      <c r="B11" s="27">
        <v>128426.03</v>
      </c>
      <c r="C11" s="37">
        <f>128426.03-0.01</f>
        <v>128426.02</v>
      </c>
      <c r="D11" s="23">
        <v>256852.05</v>
      </c>
      <c r="E11" s="25">
        <f t="shared" si="0"/>
        <v>0</v>
      </c>
      <c r="F11" s="55">
        <v>38527.81</v>
      </c>
      <c r="G11" s="55">
        <v>12842.6</v>
      </c>
      <c r="H11" s="55">
        <v>38527.81</v>
      </c>
      <c r="I11" s="26">
        <v>38527.81</v>
      </c>
      <c r="J11" s="31">
        <f t="shared" si="1"/>
        <v>128426.03</v>
      </c>
      <c r="K11" s="25">
        <f t="shared" si="3"/>
        <v>0</v>
      </c>
      <c r="L11" s="55">
        <v>9631.9500000000007</v>
      </c>
      <c r="M11" s="55">
        <v>28895.86</v>
      </c>
      <c r="N11" s="25">
        <f t="shared" si="2"/>
        <v>0</v>
      </c>
      <c r="O11" s="25"/>
      <c r="P11" t="s">
        <v>64</v>
      </c>
      <c r="Q11" s="9" t="s">
        <v>65</v>
      </c>
      <c r="R11" s="10"/>
      <c r="S11" s="36"/>
      <c r="T11" s="36">
        <f>S9*(4/12)</f>
        <v>169652.33333333331</v>
      </c>
      <c r="U11" s="36">
        <f t="shared" si="4"/>
        <v>169652.33333333331</v>
      </c>
      <c r="V11" s="27"/>
      <c r="W11" s="11" t="s">
        <v>66</v>
      </c>
    </row>
    <row r="12" spans="1:23" x14ac:dyDescent="0.25">
      <c r="A12" s="10" t="s">
        <v>10</v>
      </c>
      <c r="B12" s="27">
        <v>46608.98</v>
      </c>
      <c r="C12" s="37">
        <f>46608.98-0.01</f>
        <v>46608.97</v>
      </c>
      <c r="D12" s="23">
        <v>93217.95</v>
      </c>
      <c r="E12" s="25">
        <f t="shared" si="0"/>
        <v>0</v>
      </c>
      <c r="F12" s="55">
        <v>13982.7</v>
      </c>
      <c r="G12" s="55">
        <v>4660.8999999999996</v>
      </c>
      <c r="H12" s="55">
        <v>13982.69</v>
      </c>
      <c r="I12" s="26">
        <v>13982.69</v>
      </c>
      <c r="J12" s="31">
        <f t="shared" si="1"/>
        <v>46608.98</v>
      </c>
      <c r="K12" s="25">
        <f t="shared" si="3"/>
        <v>0</v>
      </c>
      <c r="L12" s="55">
        <v>3495.67</v>
      </c>
      <c r="M12" s="55">
        <v>10487.02</v>
      </c>
      <c r="N12" s="25">
        <f t="shared" si="2"/>
        <v>0</v>
      </c>
      <c r="O12" s="25"/>
      <c r="P12" t="s">
        <v>59</v>
      </c>
      <c r="Q12" s="9" t="s">
        <v>67</v>
      </c>
      <c r="R12" s="10">
        <v>51331</v>
      </c>
      <c r="S12" s="36">
        <f>L28</f>
        <v>127239.25</v>
      </c>
      <c r="T12" s="36"/>
      <c r="U12" s="36">
        <f t="shared" si="4"/>
        <v>127239.25</v>
      </c>
      <c r="V12" s="27"/>
      <c r="W12" s="11" t="s">
        <v>68</v>
      </c>
    </row>
    <row r="13" spans="1:23" x14ac:dyDescent="0.25">
      <c r="A13" s="10" t="s">
        <v>11</v>
      </c>
      <c r="B13" s="27">
        <v>12421.5</v>
      </c>
      <c r="C13" s="31">
        <v>12421.5</v>
      </c>
      <c r="D13" s="23">
        <v>24843</v>
      </c>
      <c r="E13" s="25">
        <f t="shared" si="0"/>
        <v>0</v>
      </c>
      <c r="F13" s="55">
        <v>3726.45</v>
      </c>
      <c r="G13" s="55">
        <v>1242.1500000000001</v>
      </c>
      <c r="H13" s="55">
        <v>3726.45</v>
      </c>
      <c r="I13" s="26">
        <v>3726.4500000000003</v>
      </c>
      <c r="J13" s="31">
        <f t="shared" si="1"/>
        <v>12421.5</v>
      </c>
      <c r="K13" s="25">
        <f t="shared" si="3"/>
        <v>0</v>
      </c>
      <c r="L13" s="55">
        <v>931.61</v>
      </c>
      <c r="M13" s="55">
        <v>2794.84</v>
      </c>
      <c r="N13" s="25">
        <f t="shared" si="2"/>
        <v>0</v>
      </c>
      <c r="O13" s="25"/>
      <c r="P13" t="s">
        <v>69</v>
      </c>
      <c r="Q13" s="9" t="s">
        <v>70</v>
      </c>
      <c r="R13" s="10" t="s">
        <v>71</v>
      </c>
      <c r="S13" s="36">
        <f>M28</f>
        <v>381717.75</v>
      </c>
      <c r="T13" s="36">
        <f>S12</f>
        <v>127239.25</v>
      </c>
      <c r="U13" s="36">
        <f t="shared" si="4"/>
        <v>508957</v>
      </c>
      <c r="V13" s="38"/>
      <c r="W13" s="11" t="s">
        <v>72</v>
      </c>
    </row>
    <row r="14" spans="1:23" x14ac:dyDescent="0.25">
      <c r="A14" s="10" t="s">
        <v>12</v>
      </c>
      <c r="B14" s="27">
        <v>151513.95000000001</v>
      </c>
      <c r="C14" s="31">
        <v>151513.95000000001</v>
      </c>
      <c r="D14" s="23">
        <v>303027.90000000002</v>
      </c>
      <c r="E14" s="25">
        <f t="shared" si="0"/>
        <v>0</v>
      </c>
      <c r="F14" s="55">
        <v>45454.19</v>
      </c>
      <c r="G14" s="55">
        <v>15151.38</v>
      </c>
      <c r="H14" s="55">
        <v>45454.19</v>
      </c>
      <c r="I14" s="26">
        <v>45454.19</v>
      </c>
      <c r="J14" s="31">
        <f t="shared" si="1"/>
        <v>151513.95000000001</v>
      </c>
      <c r="K14" s="25">
        <f t="shared" si="3"/>
        <v>0</v>
      </c>
      <c r="L14" s="55">
        <v>11363.55</v>
      </c>
      <c r="M14" s="55">
        <v>34090.639999999999</v>
      </c>
      <c r="N14" s="25">
        <f t="shared" si="2"/>
        <v>0</v>
      </c>
      <c r="O14" s="25"/>
      <c r="Q14" s="9" t="s">
        <v>73</v>
      </c>
      <c r="R14" s="10" t="s">
        <v>74</v>
      </c>
      <c r="S14" s="36"/>
      <c r="T14" s="36">
        <f>S13</f>
        <v>381717.75</v>
      </c>
      <c r="U14" s="36">
        <f>SUM(S14:T14)</f>
        <v>381717.75</v>
      </c>
      <c r="V14" s="38"/>
      <c r="W14" s="11" t="s">
        <v>75</v>
      </c>
    </row>
    <row r="15" spans="1:23" ht="15.75" thickBot="1" x14ac:dyDescent="0.3">
      <c r="A15" s="10" t="s">
        <v>13</v>
      </c>
      <c r="B15" s="27">
        <v>14426.48</v>
      </c>
      <c r="C15" s="31">
        <f>14426.48-0.01</f>
        <v>14426.47</v>
      </c>
      <c r="D15" s="23">
        <v>28852.95</v>
      </c>
      <c r="E15" s="25">
        <f t="shared" si="0"/>
        <v>0</v>
      </c>
      <c r="F15" s="55">
        <v>4327.9399999999996</v>
      </c>
      <c r="G15" s="55">
        <v>1442.66</v>
      </c>
      <c r="H15" s="55">
        <v>4327.9399999999996</v>
      </c>
      <c r="I15" s="26">
        <v>4327.9399999999996</v>
      </c>
      <c r="J15" s="31">
        <f t="shared" si="1"/>
        <v>14426.48</v>
      </c>
      <c r="K15" s="25">
        <f t="shared" si="3"/>
        <v>0</v>
      </c>
      <c r="L15" s="55">
        <v>1081.99</v>
      </c>
      <c r="M15" s="55">
        <v>3245.95</v>
      </c>
      <c r="N15" s="25">
        <f t="shared" si="2"/>
        <v>0</v>
      </c>
      <c r="O15" s="25"/>
      <c r="Q15" s="39" t="s">
        <v>3</v>
      </c>
      <c r="R15" s="40"/>
      <c r="S15" s="41">
        <f>SUM(S7:S14)</f>
        <v>1696523.33</v>
      </c>
      <c r="T15" s="41">
        <f>SUM(T7:T14)</f>
        <v>1696523.32</v>
      </c>
      <c r="U15" s="41">
        <f>SUM(U7:U14)</f>
        <v>3393046.6500000004</v>
      </c>
      <c r="V15" s="42"/>
      <c r="W15" s="43"/>
    </row>
    <row r="16" spans="1:23" x14ac:dyDescent="0.25">
      <c r="A16" s="10" t="s">
        <v>14</v>
      </c>
      <c r="B16" s="27">
        <v>115633.35</v>
      </c>
      <c r="C16" s="31">
        <v>115633.35</v>
      </c>
      <c r="D16" s="23">
        <v>231266.7</v>
      </c>
      <c r="E16" s="25">
        <f t="shared" si="0"/>
        <v>0</v>
      </c>
      <c r="F16" s="55">
        <v>34690.01</v>
      </c>
      <c r="G16" s="55">
        <v>11563.32</v>
      </c>
      <c r="H16" s="55">
        <v>34690.01</v>
      </c>
      <c r="I16" s="26">
        <v>34690.009999999995</v>
      </c>
      <c r="J16" s="31">
        <f t="shared" si="1"/>
        <v>115633.34999999999</v>
      </c>
      <c r="K16" s="25">
        <f t="shared" si="3"/>
        <v>0</v>
      </c>
      <c r="L16" s="55">
        <v>8672.5</v>
      </c>
      <c r="M16" s="55">
        <v>26017.51</v>
      </c>
      <c r="N16" s="25">
        <f t="shared" si="2"/>
        <v>0</v>
      </c>
      <c r="O16" s="25"/>
    </row>
    <row r="17" spans="1:15" x14ac:dyDescent="0.25">
      <c r="A17" s="10" t="s">
        <v>15</v>
      </c>
      <c r="B17" s="27">
        <v>86475.9</v>
      </c>
      <c r="C17" s="31">
        <v>86475.9</v>
      </c>
      <c r="D17" s="23">
        <v>172951.8</v>
      </c>
      <c r="E17" s="25">
        <f t="shared" si="0"/>
        <v>0</v>
      </c>
      <c r="F17" s="55">
        <v>25942.77</v>
      </c>
      <c r="G17" s="55">
        <v>8647.59</v>
      </c>
      <c r="H17" s="55">
        <v>25942.77</v>
      </c>
      <c r="I17" s="26">
        <v>25942.77</v>
      </c>
      <c r="J17" s="31">
        <f t="shared" si="1"/>
        <v>86475.900000000009</v>
      </c>
      <c r="K17" s="25">
        <f t="shared" si="3"/>
        <v>0</v>
      </c>
      <c r="L17" s="55">
        <v>6485.69</v>
      </c>
      <c r="M17" s="55">
        <v>19457.080000000002</v>
      </c>
      <c r="N17" s="25">
        <f t="shared" si="2"/>
        <v>0</v>
      </c>
      <c r="O17" s="25"/>
    </row>
    <row r="18" spans="1:15" x14ac:dyDescent="0.25">
      <c r="A18" s="10" t="s">
        <v>16</v>
      </c>
      <c r="B18" s="32">
        <f>179934.83-0.01</f>
        <v>179934.81999999998</v>
      </c>
      <c r="C18" s="31">
        <v>179934.83</v>
      </c>
      <c r="D18" s="23">
        <v>359869.65</v>
      </c>
      <c r="E18" s="25">
        <f t="shared" si="0"/>
        <v>0</v>
      </c>
      <c r="F18" s="55">
        <v>53980.45</v>
      </c>
      <c r="G18" s="55">
        <v>17993.48</v>
      </c>
      <c r="H18" s="55">
        <v>53980.44</v>
      </c>
      <c r="I18" s="26">
        <v>53980.45</v>
      </c>
      <c r="J18" s="31">
        <f t="shared" si="1"/>
        <v>179934.82</v>
      </c>
      <c r="K18" s="25">
        <f t="shared" si="3"/>
        <v>0</v>
      </c>
      <c r="L18" s="55">
        <v>13495.11</v>
      </c>
      <c r="M18" s="55">
        <v>40485.339999999997</v>
      </c>
      <c r="N18" s="25">
        <f t="shared" si="2"/>
        <v>0</v>
      </c>
      <c r="O18" s="25"/>
    </row>
    <row r="19" spans="1:15" x14ac:dyDescent="0.25">
      <c r="A19" s="10" t="s">
        <v>17</v>
      </c>
      <c r="B19" s="27">
        <v>131728.79999999999</v>
      </c>
      <c r="C19" s="31">
        <v>131728.79999999999</v>
      </c>
      <c r="D19" s="23">
        <v>263457.59999999998</v>
      </c>
      <c r="E19" s="25">
        <f t="shared" si="0"/>
        <v>0</v>
      </c>
      <c r="F19" s="55">
        <v>39518.639999999999</v>
      </c>
      <c r="G19" s="55">
        <v>13172.88</v>
      </c>
      <c r="H19" s="55">
        <v>39518.639999999999</v>
      </c>
      <c r="I19" s="26">
        <v>39518.639999999999</v>
      </c>
      <c r="J19" s="31">
        <f t="shared" si="1"/>
        <v>131728.79999999999</v>
      </c>
      <c r="K19" s="25">
        <f t="shared" si="3"/>
        <v>0</v>
      </c>
      <c r="L19" s="55">
        <v>9879.66</v>
      </c>
      <c r="M19" s="55">
        <v>29638.98</v>
      </c>
      <c r="N19" s="25">
        <f t="shared" si="2"/>
        <v>0</v>
      </c>
      <c r="O19" s="25"/>
    </row>
    <row r="20" spans="1:15" x14ac:dyDescent="0.25">
      <c r="A20" s="10" t="s">
        <v>18</v>
      </c>
      <c r="B20" s="27">
        <v>156487.79999999999</v>
      </c>
      <c r="C20" s="31">
        <v>156487.79999999999</v>
      </c>
      <c r="D20" s="23">
        <v>312975.59999999998</v>
      </c>
      <c r="E20" s="25">
        <f t="shared" si="0"/>
        <v>0</v>
      </c>
      <c r="F20" s="55">
        <v>46946.34</v>
      </c>
      <c r="G20" s="55">
        <v>15648.78</v>
      </c>
      <c r="H20" s="55">
        <v>46946.34</v>
      </c>
      <c r="I20" s="26">
        <v>46946.34</v>
      </c>
      <c r="J20" s="31">
        <f t="shared" si="1"/>
        <v>156487.79999999999</v>
      </c>
      <c r="K20" s="25">
        <f t="shared" si="3"/>
        <v>0</v>
      </c>
      <c r="L20" s="55">
        <v>11736.59</v>
      </c>
      <c r="M20" s="55">
        <v>35209.75</v>
      </c>
      <c r="N20" s="25">
        <f t="shared" si="2"/>
        <v>0</v>
      </c>
      <c r="O20" s="25"/>
    </row>
    <row r="21" spans="1:15" x14ac:dyDescent="0.25">
      <c r="A21" s="10" t="s">
        <v>19</v>
      </c>
      <c r="B21" s="32">
        <f>39891.08-0.01</f>
        <v>39891.07</v>
      </c>
      <c r="C21" s="31">
        <v>39891.08</v>
      </c>
      <c r="D21" s="23">
        <v>79782.149999999994</v>
      </c>
      <c r="E21" s="25">
        <f t="shared" si="0"/>
        <v>0</v>
      </c>
      <c r="F21" s="55">
        <v>11967.32</v>
      </c>
      <c r="G21" s="55">
        <v>3989.11</v>
      </c>
      <c r="H21" s="55">
        <v>11967.32</v>
      </c>
      <c r="I21" s="26">
        <v>11967.32</v>
      </c>
      <c r="J21" s="31">
        <f t="shared" si="1"/>
        <v>39891.07</v>
      </c>
      <c r="K21" s="25">
        <f t="shared" si="3"/>
        <v>0</v>
      </c>
      <c r="L21" s="55">
        <v>2991.83</v>
      </c>
      <c r="M21" s="55">
        <v>8975.49</v>
      </c>
      <c r="N21" s="25">
        <f t="shared" si="2"/>
        <v>0</v>
      </c>
      <c r="O21" s="25"/>
    </row>
    <row r="22" spans="1:15" x14ac:dyDescent="0.25">
      <c r="A22" s="10" t="s">
        <v>20</v>
      </c>
      <c r="B22" s="27">
        <v>47801.25</v>
      </c>
      <c r="C22" s="31">
        <v>47801.25</v>
      </c>
      <c r="D22" s="23">
        <v>95602.5</v>
      </c>
      <c r="E22" s="25">
        <f t="shared" si="0"/>
        <v>0</v>
      </c>
      <c r="F22" s="55">
        <v>14340.38</v>
      </c>
      <c r="G22" s="55">
        <v>4780.13</v>
      </c>
      <c r="H22" s="55">
        <v>14340.36</v>
      </c>
      <c r="I22" s="26">
        <v>14340.380000000001</v>
      </c>
      <c r="J22" s="31">
        <f t="shared" si="1"/>
        <v>47801.25</v>
      </c>
      <c r="K22" s="25">
        <f t="shared" si="3"/>
        <v>0</v>
      </c>
      <c r="L22" s="55">
        <v>3585.1</v>
      </c>
      <c r="M22" s="55">
        <v>10755.28</v>
      </c>
      <c r="N22" s="25">
        <f t="shared" si="2"/>
        <v>0</v>
      </c>
      <c r="O22" s="25"/>
    </row>
    <row r="23" spans="1:15" x14ac:dyDescent="0.25">
      <c r="A23" s="10" t="s">
        <v>21</v>
      </c>
      <c r="B23" s="32">
        <f>13312.43-0.01</f>
        <v>13312.42</v>
      </c>
      <c r="C23" s="31">
        <v>13312.43</v>
      </c>
      <c r="D23" s="23">
        <v>26624.85</v>
      </c>
      <c r="E23" s="25">
        <f t="shared" si="0"/>
        <v>0</v>
      </c>
      <c r="F23" s="55">
        <v>3993.73</v>
      </c>
      <c r="G23" s="55">
        <v>1331.24</v>
      </c>
      <c r="H23" s="55">
        <v>3993.73</v>
      </c>
      <c r="I23" s="56">
        <v>3993.72</v>
      </c>
      <c r="J23" s="31">
        <f t="shared" si="1"/>
        <v>13312.42</v>
      </c>
      <c r="K23" s="25">
        <f t="shared" si="3"/>
        <v>0</v>
      </c>
      <c r="L23" s="55">
        <v>998.43</v>
      </c>
      <c r="M23" s="55">
        <v>2995.29</v>
      </c>
      <c r="N23" s="25">
        <f t="shared" si="2"/>
        <v>0</v>
      </c>
      <c r="O23" s="25"/>
    </row>
    <row r="24" spans="1:15" x14ac:dyDescent="0.25">
      <c r="A24" s="10" t="s">
        <v>22</v>
      </c>
      <c r="B24" s="27">
        <v>51151.8</v>
      </c>
      <c r="C24" s="31">
        <v>51151.8</v>
      </c>
      <c r="D24" s="23">
        <v>102303.6</v>
      </c>
      <c r="E24" s="25">
        <f t="shared" si="0"/>
        <v>0</v>
      </c>
      <c r="F24" s="55">
        <v>15345.54</v>
      </c>
      <c r="G24" s="55">
        <v>5115.18</v>
      </c>
      <c r="H24" s="55">
        <v>15345.54</v>
      </c>
      <c r="I24" s="26">
        <v>15345.539999999999</v>
      </c>
      <c r="J24" s="31">
        <f t="shared" si="1"/>
        <v>51151.8</v>
      </c>
      <c r="K24" s="25">
        <f t="shared" si="3"/>
        <v>0</v>
      </c>
      <c r="L24" s="55">
        <v>3836.39</v>
      </c>
      <c r="M24" s="55">
        <v>11509.15</v>
      </c>
      <c r="N24" s="25">
        <f t="shared" si="2"/>
        <v>0</v>
      </c>
      <c r="O24" s="25"/>
    </row>
    <row r="25" spans="1:15" x14ac:dyDescent="0.25">
      <c r="A25" s="10" t="s">
        <v>23</v>
      </c>
      <c r="B25" s="32">
        <f>19512.68-0.01</f>
        <v>19512.670000000002</v>
      </c>
      <c r="C25" s="31">
        <v>19512.68</v>
      </c>
      <c r="D25" s="23">
        <v>39025.35</v>
      </c>
      <c r="E25" s="25">
        <f t="shared" si="0"/>
        <v>0</v>
      </c>
      <c r="F25" s="55">
        <v>5853.8</v>
      </c>
      <c r="G25" s="55">
        <v>1951.27</v>
      </c>
      <c r="H25" s="55">
        <v>5853.8</v>
      </c>
      <c r="I25" s="26">
        <v>5853.8</v>
      </c>
      <c r="J25" s="31">
        <f t="shared" si="1"/>
        <v>19512.669999999998</v>
      </c>
      <c r="K25" s="25">
        <f t="shared" si="3"/>
        <v>0</v>
      </c>
      <c r="L25" s="55">
        <v>1463.45</v>
      </c>
      <c r="M25" s="55">
        <v>4390.3500000000004</v>
      </c>
      <c r="N25" s="25">
        <f t="shared" si="2"/>
        <v>0</v>
      </c>
      <c r="O25" s="25"/>
    </row>
    <row r="26" spans="1:15" x14ac:dyDescent="0.25">
      <c r="A26" s="10" t="s">
        <v>24</v>
      </c>
      <c r="B26" s="27">
        <v>57669.15</v>
      </c>
      <c r="C26" s="31">
        <v>57669.15</v>
      </c>
      <c r="D26" s="23">
        <v>115338.3</v>
      </c>
      <c r="E26" s="25">
        <f t="shared" si="0"/>
        <v>0</v>
      </c>
      <c r="F26" s="55">
        <v>17300.75</v>
      </c>
      <c r="G26" s="55">
        <v>5766.92</v>
      </c>
      <c r="H26" s="55">
        <v>17300.75</v>
      </c>
      <c r="I26" s="56">
        <v>17300.73</v>
      </c>
      <c r="J26" s="31">
        <f t="shared" si="1"/>
        <v>57669.149999999994</v>
      </c>
      <c r="K26" s="25">
        <f t="shared" si="3"/>
        <v>0</v>
      </c>
      <c r="L26" s="55">
        <v>4325.18</v>
      </c>
      <c r="M26" s="55">
        <v>12975.55</v>
      </c>
      <c r="N26" s="25">
        <f t="shared" si="2"/>
        <v>0</v>
      </c>
      <c r="O26" s="25"/>
    </row>
    <row r="27" spans="1:15" x14ac:dyDescent="0.25">
      <c r="A27" s="10" t="s">
        <v>25</v>
      </c>
      <c r="B27" s="27">
        <v>60362.93</v>
      </c>
      <c r="C27" s="37">
        <f>60362.93-0.01</f>
        <v>60362.92</v>
      </c>
      <c r="D27" s="23">
        <v>120725.85</v>
      </c>
      <c r="E27" s="25">
        <f t="shared" si="0"/>
        <v>0</v>
      </c>
      <c r="F27" s="55">
        <v>18108.88</v>
      </c>
      <c r="G27" s="55">
        <v>6036.29</v>
      </c>
      <c r="H27" s="55">
        <v>18108.88</v>
      </c>
      <c r="I27" s="26">
        <v>18108.88</v>
      </c>
      <c r="J27" s="31">
        <f t="shared" si="1"/>
        <v>60362.930000000008</v>
      </c>
      <c r="K27" s="25">
        <f t="shared" si="3"/>
        <v>0</v>
      </c>
      <c r="L27" s="55">
        <v>4527.22</v>
      </c>
      <c r="M27" s="55">
        <v>13581.66</v>
      </c>
      <c r="N27" s="25">
        <f t="shared" si="2"/>
        <v>0</v>
      </c>
      <c r="O27" s="25"/>
    </row>
    <row r="28" spans="1:15" x14ac:dyDescent="0.25">
      <c r="A28" s="44" t="s">
        <v>26</v>
      </c>
      <c r="B28" s="45">
        <f>SUM(B6:B27)</f>
        <v>1696523.3299999998</v>
      </c>
      <c r="C28" s="46">
        <f>SUM(C6:C27)</f>
        <v>1696523.32</v>
      </c>
      <c r="D28" s="47">
        <f t="shared" ref="D28" si="5">SUM(D6:D27)</f>
        <v>3393046.6500000004</v>
      </c>
      <c r="E28" s="25">
        <f t="shared" si="0"/>
        <v>0</v>
      </c>
      <c r="F28" s="46">
        <f>SUM(F6:F27)</f>
        <v>508957.00000000006</v>
      </c>
      <c r="G28" s="46">
        <f>SUM(G6:G27)</f>
        <v>169652.33000000002</v>
      </c>
      <c r="H28" s="45">
        <f>SUM(H6:H27)</f>
        <v>508956.99999999994</v>
      </c>
      <c r="I28" s="45">
        <f>SUM(I6:I27)</f>
        <v>508956.99999999994</v>
      </c>
      <c r="J28" s="48">
        <f>SUM(J6:J27)</f>
        <v>1696523.3299999998</v>
      </c>
      <c r="K28" s="25">
        <f>B28-J28</f>
        <v>0</v>
      </c>
      <c r="L28" s="38">
        <f>SUM(L6:L27)</f>
        <v>127239.25</v>
      </c>
      <c r="M28" s="38">
        <f>SUM(M6:M27)</f>
        <v>381717.75</v>
      </c>
      <c r="N28" s="25">
        <f t="shared" si="2"/>
        <v>0</v>
      </c>
      <c r="O28" s="25"/>
    </row>
    <row r="29" spans="1:15" x14ac:dyDescent="0.25">
      <c r="F29" s="49">
        <f>B28*F4</f>
        <v>508956.99899999995</v>
      </c>
      <c r="G29" s="49">
        <f>B28*G4</f>
        <v>169652.33299999998</v>
      </c>
      <c r="H29" s="49">
        <f>B28*H4</f>
        <v>508956.99899999995</v>
      </c>
      <c r="I29" s="49">
        <f>B28*I4</f>
        <v>508956.99899999995</v>
      </c>
      <c r="J29" s="49">
        <f>SUM(F29:I29)</f>
        <v>1696523.3299999996</v>
      </c>
      <c r="K29" s="25"/>
      <c r="L29" s="25"/>
      <c r="M29" s="25"/>
      <c r="N29" s="25"/>
      <c r="O29" s="25"/>
    </row>
    <row r="30" spans="1:15" x14ac:dyDescent="0.25">
      <c r="C30" t="s">
        <v>76</v>
      </c>
      <c r="D30" s="50">
        <v>3231473</v>
      </c>
      <c r="J30" s="51"/>
      <c r="K30" s="25"/>
      <c r="L30" s="25"/>
      <c r="M30" s="25"/>
      <c r="N30" s="25"/>
      <c r="O30" s="25"/>
    </row>
    <row r="31" spans="1:15" x14ac:dyDescent="0.25">
      <c r="C31" t="s">
        <v>77</v>
      </c>
      <c r="D31" s="49">
        <f>D30*5%</f>
        <v>161573.65000000002</v>
      </c>
      <c r="K31" s="25"/>
      <c r="L31" s="25"/>
      <c r="M31" s="25"/>
      <c r="N31" s="25"/>
      <c r="O31" s="25"/>
    </row>
    <row r="32" spans="1:15" x14ac:dyDescent="0.25">
      <c r="C32" t="s">
        <v>78</v>
      </c>
      <c r="D32" s="52">
        <f>SUM(D30:D31)</f>
        <v>3393046.65</v>
      </c>
      <c r="O32" s="25"/>
    </row>
    <row r="33" spans="1:15" x14ac:dyDescent="0.25">
      <c r="A33" s="53" t="s">
        <v>79</v>
      </c>
      <c r="B33" s="53"/>
      <c r="O33" s="25"/>
    </row>
    <row r="34" spans="1:15" x14ac:dyDescent="0.25">
      <c r="O34" s="25"/>
    </row>
  </sheetData>
  <mergeCells count="1">
    <mergeCell ref="F2:J2"/>
  </mergeCells>
  <pageMargins left="0.7" right="0.7" top="0.75" bottom="0.75" header="0.3" footer="0.3"/>
  <headerFooter>
    <oddFooter>&amp;C_x000D_&amp;1#&amp;"Calibri"&amp;10&amp;K000000 Level 3 - Restricted</oddFooter>
  </headerFooter>
  <legacyDrawing r:id="rId1"/>
</worksheet>
</file>

<file path=docMetadata/LabelInfo.xml><?xml version="1.0" encoding="utf-8"?>
<clbl:labelList xmlns:clbl="http://schemas.microsoft.com/office/2020/mipLabelMetadata">
  <clbl:label id="{a76575b2-0a46-484c-818c-2622a2b78303}" enabled="1" method="Privileged" siteId="{658e63e8-8d39-499c-8f48-13adc9452f4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FY26 Award Allocations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Clark</dc:creator>
  <cp:keywords/>
  <dc:description/>
  <cp:lastModifiedBy>FIELDS Anthony J</cp:lastModifiedBy>
  <cp:revision/>
  <dcterms:created xsi:type="dcterms:W3CDTF">2025-05-28T19:39:45Z</dcterms:created>
  <dcterms:modified xsi:type="dcterms:W3CDTF">2025-06-20T20:09:04Z</dcterms:modified>
  <cp:category/>
  <cp:contentStatus/>
</cp:coreProperties>
</file>