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I:\IMM\Fiscal\Agreements and Contracts\02. Program Elements (LPHAs, Tribes, CBO's)\PE 01-10 (CARES 4 &amp; 5- LPHAs)\"/>
    </mc:Choice>
  </mc:AlternateContent>
  <xr:revisionPtr revIDLastSave="0" documentId="8_{2EC143C5-6675-4B27-A330-D560DA4F2E36}" xr6:coauthVersionLast="45" xr6:coauthVersionMax="45" xr10:uidLastSave="{00000000-0000-0000-0000-000000000000}"/>
  <bookViews>
    <workbookView xWindow="-120" yWindow="-120" windowWidth="29040" windowHeight="1584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Rurality!$B$6:$H$40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S12" i="21" l="1"/>
  <c r="R12" i="21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C7" i="13" l="1"/>
  <c r="C8" i="13" s="1"/>
  <c r="D21" i="13" l="1"/>
  <c r="D20" i="13"/>
  <c r="D22" i="13"/>
  <c r="D19" i="13"/>
  <c r="D18" i="13"/>
  <c r="D17" i="13"/>
  <c r="D16" i="13"/>
  <c r="D14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10" i="1"/>
  <c r="C12" i="13"/>
  <c r="I11" i="21" s="1"/>
  <c r="C11" i="13"/>
  <c r="I10" i="21" s="1"/>
  <c r="C10" i="13"/>
  <c r="I9" i="21" s="1"/>
  <c r="C9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14" i="13" l="1"/>
  <c r="C16" i="13" s="1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C16" i="4" s="1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C21" i="4" s="1"/>
  <c r="B28" i="4"/>
  <c r="C28" i="4" s="1"/>
  <c r="B26" i="4"/>
  <c r="C26" i="4" s="1"/>
  <c r="B14" i="4"/>
  <c r="C14" i="4" s="1"/>
  <c r="B19" i="4"/>
  <c r="C19" i="4" s="1"/>
  <c r="B10" i="4"/>
  <c r="C10" i="4" s="1"/>
  <c r="B35" i="4"/>
  <c r="C35" i="4" s="1"/>
  <c r="B17" i="4"/>
  <c r="C17" i="4" s="1"/>
  <c r="B8" i="4"/>
  <c r="C8" i="4" s="1"/>
  <c r="B29" i="4"/>
  <c r="C29" i="4" s="1"/>
  <c r="B15" i="4"/>
  <c r="C15" i="4" s="1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C34" i="4" s="1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C39" i="4" s="1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Q8" i="2" l="1"/>
  <c r="C28" i="15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J7" i="21" s="1"/>
  <c r="D11" i="17"/>
  <c r="E11" i="17" s="1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9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C3" i="8"/>
  <c r="C3" i="4"/>
  <c r="C2" i="9"/>
  <c r="C3" i="9" s="1"/>
  <c r="C3" i="14"/>
  <c r="C44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37" i="15" l="1"/>
  <c r="E39" i="15"/>
  <c r="E33" i="15"/>
  <c r="E16" i="15"/>
  <c r="E24" i="15"/>
  <c r="E26" i="15"/>
  <c r="E14" i="15"/>
  <c r="E27" i="15"/>
  <c r="E13" i="15"/>
  <c r="E7" i="2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J8" i="21"/>
  <c r="J9" i="21"/>
  <c r="J10" i="21"/>
  <c r="J11" i="21"/>
  <c r="P37" i="1"/>
  <c r="P10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P40" i="1"/>
  <c r="P14" i="1"/>
  <c r="P12" i="1"/>
  <c r="P30" i="1"/>
  <c r="P15" i="1"/>
  <c r="P19" i="1"/>
  <c r="P18" i="1"/>
  <c r="P27" i="1"/>
  <c r="P11" i="1"/>
  <c r="P16" i="1"/>
  <c r="P43" i="1"/>
  <c r="P42" i="1"/>
  <c r="P22" i="1"/>
  <c r="P36" i="1"/>
  <c r="P25" i="1"/>
  <c r="P39" i="1"/>
  <c r="P26" i="1"/>
  <c r="P20" i="1"/>
  <c r="P24" i="1"/>
  <c r="P38" i="1"/>
  <c r="P13" i="1"/>
  <c r="P33" i="1"/>
  <c r="P32" i="1"/>
  <c r="P35" i="1"/>
  <c r="P29" i="1"/>
  <c r="P31" i="1"/>
  <c r="P41" i="1"/>
  <c r="P21" i="1"/>
  <c r="P28" i="1"/>
  <c r="P17" i="1"/>
  <c r="P23" i="1"/>
  <c r="P34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4" i="1" s="1"/>
  <c r="D16" i="1"/>
  <c r="E41" i="21"/>
  <c r="D10" i="1" s="1"/>
  <c r="E34" i="21"/>
  <c r="F34" i="21" s="1"/>
  <c r="E18" i="21"/>
  <c r="D13" i="1" s="1"/>
  <c r="E38" i="21"/>
  <c r="D11" i="1" s="1"/>
  <c r="E19" i="21"/>
  <c r="D12" i="1" s="1"/>
  <c r="E31" i="21"/>
  <c r="D15" i="1" s="1"/>
  <c r="E28" i="21"/>
  <c r="D36" i="1" s="1"/>
  <c r="E36" i="21"/>
  <c r="D30" i="1" s="1"/>
  <c r="E8" i="21"/>
  <c r="D33" i="1" s="1"/>
  <c r="E33" i="21"/>
  <c r="D31" i="1" s="1"/>
  <c r="E42" i="21"/>
  <c r="D34" i="1" s="1"/>
  <c r="E23" i="21"/>
  <c r="D32" i="1" s="1"/>
  <c r="E16" i="21"/>
  <c r="D35" i="1" s="1"/>
  <c r="E9" i="21"/>
  <c r="D41" i="1" s="1"/>
  <c r="E32" i="21"/>
  <c r="D43" i="1" s="1"/>
  <c r="E40" i="21"/>
  <c r="D42" i="1" s="1"/>
  <c r="E26" i="21"/>
  <c r="D40" i="1" s="1"/>
  <c r="E30" i="21"/>
  <c r="D39" i="1" s="1"/>
  <c r="E21" i="21"/>
  <c r="D38" i="1" s="1"/>
  <c r="E15" i="21"/>
  <c r="D37" i="1" s="1"/>
  <c r="E10" i="21"/>
  <c r="D25" i="1" s="1"/>
  <c r="E11" i="21"/>
  <c r="D27" i="1" s="1"/>
  <c r="E39" i="21"/>
  <c r="F39" i="21" s="1"/>
  <c r="E20" i="21"/>
  <c r="D20" i="1" s="1"/>
  <c r="E14" i="21"/>
  <c r="D18" i="1" s="1"/>
  <c r="E24" i="21"/>
  <c r="D29" i="1" s="1"/>
  <c r="E29" i="21"/>
  <c r="D24" i="1" s="1"/>
  <c r="E37" i="21"/>
  <c r="D22" i="1" s="1"/>
  <c r="E12" i="21"/>
  <c r="D28" i="1" s="1"/>
  <c r="E13" i="21"/>
  <c r="D17" i="1" s="1"/>
  <c r="E22" i="21"/>
  <c r="D19" i="1" s="1"/>
  <c r="E27" i="21"/>
  <c r="D26" i="1" s="1"/>
  <c r="E35" i="21"/>
  <c r="D21" i="1" s="1"/>
  <c r="E41" i="19"/>
  <c r="F26" i="19" s="1"/>
  <c r="P44" i="1"/>
  <c r="D41" i="4"/>
  <c r="C4" i="8"/>
  <c r="G9" i="8" s="1"/>
  <c r="E45" i="21" l="1"/>
  <c r="I39" i="8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10" i="17" l="1"/>
  <c r="I41" i="8"/>
  <c r="X11" i="9"/>
  <c r="Y11" i="9" s="1"/>
  <c r="F41" i="14"/>
  <c r="X32" i="9"/>
  <c r="M35" i="1" s="1"/>
  <c r="X13" i="9"/>
  <c r="M16" i="1" s="1"/>
  <c r="G36" i="14"/>
  <c r="E28" i="1" s="1"/>
  <c r="X17" i="9"/>
  <c r="Y17" i="9" s="1"/>
  <c r="F41" i="17"/>
  <c r="X33" i="9"/>
  <c r="M36" i="1" s="1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J29" i="1" s="1"/>
  <c r="F41" i="16"/>
  <c r="F41" i="20"/>
  <c r="F41" i="15"/>
  <c r="F45" i="21"/>
  <c r="D23" i="1"/>
  <c r="D44" i="1" s="1"/>
  <c r="G10" i="18"/>
  <c r="K13" i="1" s="1"/>
  <c r="G33" i="15"/>
  <c r="H33" i="15" s="1"/>
  <c r="G26" i="15"/>
  <c r="F27" i="1" s="1"/>
  <c r="G27" i="15"/>
  <c r="F21" i="1" s="1"/>
  <c r="G20" i="18"/>
  <c r="K36" i="1" s="1"/>
  <c r="G29" i="18"/>
  <c r="K41" i="1" s="1"/>
  <c r="G21" i="14"/>
  <c r="E24" i="1" s="1"/>
  <c r="G34" i="20"/>
  <c r="H34" i="20" s="1"/>
  <c r="G18" i="20"/>
  <c r="J16" i="1" s="1"/>
  <c r="G25" i="14"/>
  <c r="H25" i="14" s="1"/>
  <c r="G35" i="20"/>
  <c r="J14" i="1" s="1"/>
  <c r="G7" i="19"/>
  <c r="H7" i="19" s="1"/>
  <c r="G15" i="15"/>
  <c r="F41" i="1" s="1"/>
  <c r="G40" i="18"/>
  <c r="K15" i="1" s="1"/>
  <c r="G9" i="15"/>
  <c r="F14" i="1" s="1"/>
  <c r="G7" i="15"/>
  <c r="F37" i="1" s="1"/>
  <c r="G27" i="20"/>
  <c r="J38" i="1" s="1"/>
  <c r="G28" i="15"/>
  <c r="H28" i="15" s="1"/>
  <c r="G25" i="15"/>
  <c r="H25" i="15" s="1"/>
  <c r="G29" i="16"/>
  <c r="H29" i="16" s="1"/>
  <c r="G31" i="15"/>
  <c r="F29" i="1" s="1"/>
  <c r="G10" i="15"/>
  <c r="F42" i="1" s="1"/>
  <c r="G30" i="15"/>
  <c r="F26" i="1" s="1"/>
  <c r="G22" i="15"/>
  <c r="H22" i="15" s="1"/>
  <c r="G31" i="14"/>
  <c r="H31" i="14" s="1"/>
  <c r="G8" i="15"/>
  <c r="H8" i="15" s="1"/>
  <c r="G24" i="15"/>
  <c r="F34" i="1" s="1"/>
  <c r="G16" i="19"/>
  <c r="I37" i="1" s="1"/>
  <c r="G35" i="15"/>
  <c r="H35" i="15" s="1"/>
  <c r="G39" i="15"/>
  <c r="F24" i="1" s="1"/>
  <c r="G18" i="15"/>
  <c r="H18" i="15" s="1"/>
  <c r="G25" i="20"/>
  <c r="J26" i="1" s="1"/>
  <c r="G36" i="15"/>
  <c r="H36" i="15" s="1"/>
  <c r="G29" i="15"/>
  <c r="F20" i="1" s="1"/>
  <c r="G34" i="15"/>
  <c r="H34" i="15" s="1"/>
  <c r="G39" i="14"/>
  <c r="H39" i="14" s="1"/>
  <c r="G38" i="14"/>
  <c r="E19" i="1" s="1"/>
  <c r="G40" i="14"/>
  <c r="E18" i="1" s="1"/>
  <c r="G10" i="14"/>
  <c r="H10" i="14" s="1"/>
  <c r="G11" i="14"/>
  <c r="H11" i="14" s="1"/>
  <c r="G29" i="14"/>
  <c r="H29" i="14" s="1"/>
  <c r="G35" i="14"/>
  <c r="E29" i="1" s="1"/>
  <c r="G28" i="14"/>
  <c r="E21" i="1" s="1"/>
  <c r="G7" i="17"/>
  <c r="H41" i="1" s="1"/>
  <c r="G19" i="20"/>
  <c r="J27" i="1" s="1"/>
  <c r="G22" i="14"/>
  <c r="E36" i="1" s="1"/>
  <c r="G14" i="14"/>
  <c r="H14" i="14" s="1"/>
  <c r="G17" i="17"/>
  <c r="H23" i="1" s="1"/>
  <c r="G28" i="20"/>
  <c r="J28" i="1" s="1"/>
  <c r="G17" i="18"/>
  <c r="K28" i="1" s="1"/>
  <c r="G30" i="14"/>
  <c r="H30" i="14" s="1"/>
  <c r="G27" i="14"/>
  <c r="H27" i="14" s="1"/>
  <c r="G17" i="14"/>
  <c r="E39" i="1" s="1"/>
  <c r="G12" i="14"/>
  <c r="E37" i="1" s="1"/>
  <c r="F41" i="19"/>
  <c r="G26" i="14"/>
  <c r="E27" i="1" s="1"/>
  <c r="G20" i="14"/>
  <c r="E22" i="1" s="1"/>
  <c r="G13" i="14"/>
  <c r="E34" i="1" s="1"/>
  <c r="G18" i="14"/>
  <c r="H18" i="14" s="1"/>
  <c r="G29" i="17"/>
  <c r="H26" i="1" s="1"/>
  <c r="G29" i="20"/>
  <c r="H29" i="20" s="1"/>
  <c r="G21" i="18"/>
  <c r="H21" i="18" s="1"/>
  <c r="E16" i="4"/>
  <c r="F16" i="4" s="1"/>
  <c r="E37" i="4"/>
  <c r="F37" i="4" s="1"/>
  <c r="E19" i="4"/>
  <c r="E29" i="4"/>
  <c r="E22" i="4"/>
  <c r="F22" i="4" s="1"/>
  <c r="E20" i="4"/>
  <c r="F20" i="4" s="1"/>
  <c r="E24" i="4"/>
  <c r="F24" i="4" s="1"/>
  <c r="E8" i="4"/>
  <c r="F8" i="4" s="1"/>
  <c r="E32" i="4"/>
  <c r="E14" i="4"/>
  <c r="E30" i="4"/>
  <c r="E9" i="4"/>
  <c r="F9" i="4" s="1"/>
  <c r="E26" i="4"/>
  <c r="E40" i="4"/>
  <c r="E27" i="4"/>
  <c r="F27" i="4" s="1"/>
  <c r="E23" i="4"/>
  <c r="E17" i="4"/>
  <c r="E13" i="4"/>
  <c r="E39" i="4"/>
  <c r="F39" i="4" s="1"/>
  <c r="E10" i="4"/>
  <c r="E31" i="4"/>
  <c r="E28" i="4"/>
  <c r="E38" i="4"/>
  <c r="E25" i="4"/>
  <c r="F25" i="4" s="1"/>
  <c r="E21" i="4"/>
  <c r="F21" i="4" s="1"/>
  <c r="E11" i="4"/>
  <c r="E33" i="4"/>
  <c r="E12" i="4"/>
  <c r="F12" i="4" s="1"/>
  <c r="E34" i="4"/>
  <c r="F34" i="4" s="1"/>
  <c r="E18" i="4"/>
  <c r="E7" i="4"/>
  <c r="E36" i="4"/>
  <c r="E35" i="4"/>
  <c r="E15" i="4"/>
  <c r="G32" i="20"/>
  <c r="J17" i="1" s="1"/>
  <c r="G40" i="19"/>
  <c r="I10" i="1" s="1"/>
  <c r="G24" i="20"/>
  <c r="H24" i="20" s="1"/>
  <c r="G38" i="20"/>
  <c r="J20" i="1" s="1"/>
  <c r="G12" i="20"/>
  <c r="H12" i="20" s="1"/>
  <c r="G23" i="20"/>
  <c r="H23" i="20" s="1"/>
  <c r="G19" i="18"/>
  <c r="K37" i="1" s="1"/>
  <c r="G13" i="20"/>
  <c r="H13" i="20" s="1"/>
  <c r="G20" i="20"/>
  <c r="H20" i="20" s="1"/>
  <c r="G14" i="20"/>
  <c r="J40" i="1" s="1"/>
  <c r="G30" i="20"/>
  <c r="J34" i="1" s="1"/>
  <c r="G32" i="15"/>
  <c r="F28" i="1" s="1"/>
  <c r="G14" i="15"/>
  <c r="F31" i="1" s="1"/>
  <c r="G37" i="15"/>
  <c r="H37" i="15" s="1"/>
  <c r="G31" i="18"/>
  <c r="K19" i="1" s="1"/>
  <c r="G28" i="18"/>
  <c r="K33" i="1" s="1"/>
  <c r="G9" i="19"/>
  <c r="I39" i="1" s="1"/>
  <c r="G26" i="20"/>
  <c r="H26" i="20" s="1"/>
  <c r="G10" i="20"/>
  <c r="J37" i="1" s="1"/>
  <c r="G37" i="20"/>
  <c r="H37" i="20" s="1"/>
  <c r="G40" i="20"/>
  <c r="H40" i="20" s="1"/>
  <c r="G23" i="18"/>
  <c r="H23" i="18" s="1"/>
  <c r="G17" i="20"/>
  <c r="J43" i="1" s="1"/>
  <c r="G36" i="20"/>
  <c r="H36" i="20" s="1"/>
  <c r="G15" i="20"/>
  <c r="J31" i="1" s="1"/>
  <c r="G21" i="20"/>
  <c r="J18" i="1" s="1"/>
  <c r="G32" i="19"/>
  <c r="I17" i="1" s="1"/>
  <c r="G23" i="15"/>
  <c r="F19" i="1" s="1"/>
  <c r="G21" i="15"/>
  <c r="F38" i="1" s="1"/>
  <c r="G16" i="15"/>
  <c r="F25" i="1" s="1"/>
  <c r="G38" i="15"/>
  <c r="F12" i="1" s="1"/>
  <c r="G9" i="18"/>
  <c r="K11" i="1" s="1"/>
  <c r="G12" i="18"/>
  <c r="K35" i="1" s="1"/>
  <c r="G22" i="20"/>
  <c r="J36" i="1" s="1"/>
  <c r="G16" i="20"/>
  <c r="J42" i="1" s="1"/>
  <c r="G8" i="20"/>
  <c r="H8" i="20" s="1"/>
  <c r="G39" i="20"/>
  <c r="H39" i="20" s="1"/>
  <c r="G33" i="20"/>
  <c r="H33" i="20" s="1"/>
  <c r="G34" i="19"/>
  <c r="H34" i="19" s="1"/>
  <c r="G35" i="18"/>
  <c r="K24" i="1" s="1"/>
  <c r="G27" i="18"/>
  <c r="H27" i="18" s="1"/>
  <c r="G11" i="20"/>
  <c r="J22" i="1" s="1"/>
  <c r="G7" i="20"/>
  <c r="H7" i="20" s="1"/>
  <c r="G9" i="20"/>
  <c r="H9" i="20" s="1"/>
  <c r="G20" i="19"/>
  <c r="H20" i="19" s="1"/>
  <c r="G40" i="15"/>
  <c r="F10" i="1" s="1"/>
  <c r="G19" i="15"/>
  <c r="F43" i="1" s="1"/>
  <c r="G17" i="15"/>
  <c r="F23" i="1" s="1"/>
  <c r="G11" i="15"/>
  <c r="H11" i="15" s="1"/>
  <c r="G37" i="18"/>
  <c r="H37" i="18" s="1"/>
  <c r="G22" i="18"/>
  <c r="K14" i="1" s="1"/>
  <c r="G16" i="16"/>
  <c r="G32" i="1" s="1"/>
  <c r="G37" i="16"/>
  <c r="G20" i="1" s="1"/>
  <c r="G24" i="17"/>
  <c r="H13" i="1" s="1"/>
  <c r="G27" i="16"/>
  <c r="G38" i="1" s="1"/>
  <c r="G38" i="19"/>
  <c r="H38" i="19" s="1"/>
  <c r="G20" i="17"/>
  <c r="H20" i="17" s="1"/>
  <c r="G35" i="19"/>
  <c r="H35" i="19" s="1"/>
  <c r="G13" i="15"/>
  <c r="G40" i="17"/>
  <c r="H40" i="17" s="1"/>
  <c r="G38" i="17"/>
  <c r="H14" i="1" s="1"/>
  <c r="G18" i="19"/>
  <c r="I36" i="1" s="1"/>
  <c r="G28" i="17"/>
  <c r="H30" i="1" s="1"/>
  <c r="G23" i="19"/>
  <c r="H23" i="19" s="1"/>
  <c r="G20" i="15"/>
  <c r="H20" i="15" s="1"/>
  <c r="G8" i="16"/>
  <c r="H8" i="16" s="1"/>
  <c r="G36" i="17"/>
  <c r="G22" i="17"/>
  <c r="H22" i="17" s="1"/>
  <c r="G25" i="17"/>
  <c r="H35" i="1" s="1"/>
  <c r="G15" i="17"/>
  <c r="H15" i="17" s="1"/>
  <c r="G18" i="17"/>
  <c r="H15" i="1" s="1"/>
  <c r="G33" i="16"/>
  <c r="G43" i="1" s="1"/>
  <c r="G11" i="16"/>
  <c r="H11" i="16" s="1"/>
  <c r="G7" i="16"/>
  <c r="H7" i="16" s="1"/>
  <c r="G34" i="16"/>
  <c r="G42" i="1" s="1"/>
  <c r="G32" i="17"/>
  <c r="H32" i="17" s="1"/>
  <c r="G16" i="17"/>
  <c r="H16" i="17" s="1"/>
  <c r="G9" i="17"/>
  <c r="H37" i="1" s="1"/>
  <c r="G23" i="17"/>
  <c r="H12" i="1" s="1"/>
  <c r="G39" i="17"/>
  <c r="H32" i="1" s="1"/>
  <c r="G30" i="16"/>
  <c r="G31" i="1" s="1"/>
  <c r="G20" i="16"/>
  <c r="H20" i="16" s="1"/>
  <c r="G25" i="16"/>
  <c r="G40" i="1" s="1"/>
  <c r="G12" i="16"/>
  <c r="G27" i="1" s="1"/>
  <c r="G31" i="19"/>
  <c r="I15" i="1" s="1"/>
  <c r="G25" i="19"/>
  <c r="H25" i="19" s="1"/>
  <c r="G33" i="19"/>
  <c r="H33" i="19" s="1"/>
  <c r="G30" i="18"/>
  <c r="K31" i="1" s="1"/>
  <c r="G34" i="18"/>
  <c r="H34" i="18" s="1"/>
  <c r="G8" i="18"/>
  <c r="K17" i="1" s="1"/>
  <c r="G13" i="18"/>
  <c r="K18" i="1" s="1"/>
  <c r="G22" i="16"/>
  <c r="H22" i="16" s="1"/>
  <c r="G40" i="16"/>
  <c r="H40" i="16" s="1"/>
  <c r="G12" i="17"/>
  <c r="H20" i="1" s="1"/>
  <c r="G31" i="17"/>
  <c r="H31" i="17" s="1"/>
  <c r="G18" i="16"/>
  <c r="G12" i="1" s="1"/>
  <c r="G17" i="16"/>
  <c r="H17" i="16" s="1"/>
  <c r="G26" i="17"/>
  <c r="H38" i="1" s="1"/>
  <c r="G27" i="17"/>
  <c r="H39" i="1" s="1"/>
  <c r="G13" i="17"/>
  <c r="H34" i="1" s="1"/>
  <c r="G35" i="17"/>
  <c r="H35" i="17" s="1"/>
  <c r="G9" i="16"/>
  <c r="G13" i="1" s="1"/>
  <c r="G31" i="16"/>
  <c r="H31" i="16" s="1"/>
  <c r="G35" i="16"/>
  <c r="G30" i="1" s="1"/>
  <c r="G32" i="16"/>
  <c r="H32" i="16" s="1"/>
  <c r="G39" i="16"/>
  <c r="G15" i="1" s="1"/>
  <c r="G30" i="19"/>
  <c r="I32" i="1" s="1"/>
  <c r="G22" i="19"/>
  <c r="I18" i="1" s="1"/>
  <c r="G14" i="19"/>
  <c r="I38" i="1" s="1"/>
  <c r="G18" i="18"/>
  <c r="K12" i="1" s="1"/>
  <c r="G15" i="18"/>
  <c r="K27" i="1" s="1"/>
  <c r="G36" i="18"/>
  <c r="H36" i="18" s="1"/>
  <c r="G14" i="18"/>
  <c r="K32" i="1" s="1"/>
  <c r="G8" i="17"/>
  <c r="H42" i="1" s="1"/>
  <c r="G33" i="17"/>
  <c r="H19" i="1" s="1"/>
  <c r="G19" i="17"/>
  <c r="H21" i="1" s="1"/>
  <c r="G34" i="17"/>
  <c r="H34" i="17" s="1"/>
  <c r="G28" i="16"/>
  <c r="H28" i="16" s="1"/>
  <c r="G10" i="16"/>
  <c r="G16" i="1" s="1"/>
  <c r="G21" i="16"/>
  <c r="H21" i="16" s="1"/>
  <c r="G36" i="16"/>
  <c r="G39" i="1" s="1"/>
  <c r="G21" i="19"/>
  <c r="I28" i="1" s="1"/>
  <c r="G19" i="19"/>
  <c r="H19" i="19" s="1"/>
  <c r="G28" i="19"/>
  <c r="H28" i="19" s="1"/>
  <c r="G7" i="18"/>
  <c r="H7" i="18" s="1"/>
  <c r="G16" i="18"/>
  <c r="K22" i="1" s="1"/>
  <c r="G26" i="18"/>
  <c r="K26" i="1" s="1"/>
  <c r="G24" i="18"/>
  <c r="H24" i="18" s="1"/>
  <c r="G33" i="18"/>
  <c r="K23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H18" i="1" s="1"/>
  <c r="G37" i="17"/>
  <c r="H22" i="1" s="1"/>
  <c r="G19" i="16"/>
  <c r="G25" i="1" s="1"/>
  <c r="G13" i="16"/>
  <c r="G35" i="1" s="1"/>
  <c r="G24" i="16"/>
  <c r="G41" i="1" s="1"/>
  <c r="G30" i="17"/>
  <c r="H30" i="17" s="1"/>
  <c r="G14" i="17"/>
  <c r="H43" i="1" s="1"/>
  <c r="G11" i="17"/>
  <c r="H31" i="1" s="1"/>
  <c r="G38" i="16"/>
  <c r="H38" i="16" s="1"/>
  <c r="G14" i="16"/>
  <c r="G17" i="1" s="1"/>
  <c r="G15" i="16"/>
  <c r="G37" i="1" s="1"/>
  <c r="G15" i="19"/>
  <c r="I34" i="1" s="1"/>
  <c r="G17" i="19"/>
  <c r="I30" i="1" s="1"/>
  <c r="G13" i="19"/>
  <c r="I31" i="1" s="1"/>
  <c r="G32" i="18"/>
  <c r="H32" i="18" s="1"/>
  <c r="G38" i="18"/>
  <c r="K39" i="1" s="1"/>
  <c r="G39" i="18"/>
  <c r="H39" i="18" s="1"/>
  <c r="G25" i="18"/>
  <c r="K29" i="1" s="1"/>
  <c r="G15" i="14"/>
  <c r="E15" i="1" s="1"/>
  <c r="G34" i="14"/>
  <c r="H34" i="14" s="1"/>
  <c r="G23" i="14"/>
  <c r="H23" i="14" s="1"/>
  <c r="G37" i="14"/>
  <c r="E26" i="1" s="1"/>
  <c r="G27" i="19"/>
  <c r="H27" i="19" s="1"/>
  <c r="G29" i="19"/>
  <c r="I12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E40" i="1" s="1"/>
  <c r="G26" i="19"/>
  <c r="I23" i="1" s="1"/>
  <c r="G12" i="19"/>
  <c r="H12" i="19" s="1"/>
  <c r="G37" i="19"/>
  <c r="I21" i="1" s="1"/>
  <c r="G36" i="19"/>
  <c r="I14" i="1" s="1"/>
  <c r="G8" i="14"/>
  <c r="E42" i="1" s="1"/>
  <c r="G7" i="14"/>
  <c r="H7" i="14" s="1"/>
  <c r="G16" i="14"/>
  <c r="H16" i="14" s="1"/>
  <c r="G32" i="14"/>
  <c r="E25" i="1" s="1"/>
  <c r="G11" i="19"/>
  <c r="H11" i="19" s="1"/>
  <c r="G8" i="19"/>
  <c r="H8" i="19" s="1"/>
  <c r="G10" i="19"/>
  <c r="I40" i="1" s="1"/>
  <c r="H27" i="1"/>
  <c r="H10" i="17"/>
  <c r="F33" i="1"/>
  <c r="H12" i="15"/>
  <c r="K16" i="1"/>
  <c r="H11" i="18"/>
  <c r="M20" i="1" l="1"/>
  <c r="H36" i="14"/>
  <c r="M23" i="1"/>
  <c r="M12" i="1"/>
  <c r="M14" i="1"/>
  <c r="G26" i="1"/>
  <c r="Y32" i="9"/>
  <c r="Y33" i="9"/>
  <c r="Y13" i="9"/>
  <c r="M33" i="1"/>
  <c r="H31" i="20"/>
  <c r="M43" i="1"/>
  <c r="Y26" i="9"/>
  <c r="M29" i="1"/>
  <c r="M22" i="1"/>
  <c r="Y19" i="9"/>
  <c r="Y18" i="9"/>
  <c r="M21" i="1"/>
  <c r="Y27" i="9"/>
  <c r="M31" i="1"/>
  <c r="M40" i="1"/>
  <c r="Y37" i="9"/>
  <c r="Y15" i="9"/>
  <c r="M19" i="1"/>
  <c r="Y8" i="9"/>
  <c r="M11" i="1"/>
  <c r="Y23" i="9"/>
  <c r="M26" i="1"/>
  <c r="Y22" i="9"/>
  <c r="M25" i="1"/>
  <c r="Y16" i="9"/>
  <c r="M18" i="1"/>
  <c r="Y38" i="9"/>
  <c r="M41" i="1"/>
  <c r="M28" i="1"/>
  <c r="Y25" i="9"/>
  <c r="M15" i="1"/>
  <c r="Y12" i="9"/>
  <c r="M24" i="1"/>
  <c r="Y21" i="9"/>
  <c r="M42" i="1"/>
  <c r="Y39" i="9"/>
  <c r="X7" i="9"/>
  <c r="M10" i="1" s="1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M34" i="1"/>
  <c r="M32" i="1"/>
  <c r="Y29" i="9"/>
  <c r="Y14" i="9"/>
  <c r="M17" i="1"/>
  <c r="Y10" i="9"/>
  <c r="M13" i="1"/>
  <c r="M37" i="1"/>
  <c r="Y34" i="9"/>
  <c r="M38" i="1"/>
  <c r="Y35" i="9"/>
  <c r="M30" i="1"/>
  <c r="Y28" i="9"/>
  <c r="Y36" i="9"/>
  <c r="M39" i="1"/>
  <c r="Y24" i="9"/>
  <c r="M27" i="1"/>
  <c r="H20" i="18"/>
  <c r="H27" i="15"/>
  <c r="H26" i="15"/>
  <c r="H10" i="18"/>
  <c r="E41" i="4"/>
  <c r="F41" i="4" s="1"/>
  <c r="F30" i="1"/>
  <c r="H29" i="18"/>
  <c r="H40" i="14"/>
  <c r="J39" i="1"/>
  <c r="H17" i="14"/>
  <c r="I24" i="1"/>
  <c r="H7" i="15"/>
  <c r="H16" i="1"/>
  <c r="H18" i="20"/>
  <c r="K38" i="1"/>
  <c r="H9" i="19"/>
  <c r="F17" i="1"/>
  <c r="H7" i="17"/>
  <c r="E17" i="1"/>
  <c r="H15" i="19"/>
  <c r="H26" i="14"/>
  <c r="E16" i="1"/>
  <c r="F39" i="1"/>
  <c r="H28" i="20"/>
  <c r="H15" i="15"/>
  <c r="H35" i="20"/>
  <c r="H19" i="16"/>
  <c r="I43" i="1"/>
  <c r="H21" i="14"/>
  <c r="G34" i="1"/>
  <c r="H29" i="15"/>
  <c r="F16" i="1"/>
  <c r="H27" i="20"/>
  <c r="F13" i="1"/>
  <c r="H10" i="19"/>
  <c r="H15" i="20"/>
  <c r="F36" i="1"/>
  <c r="H17" i="15"/>
  <c r="H9" i="15"/>
  <c r="G41" i="18"/>
  <c r="H41" i="18" s="1"/>
  <c r="H28" i="18"/>
  <c r="E43" i="1"/>
  <c r="H11" i="20"/>
  <c r="H9" i="16"/>
  <c r="F35" i="1"/>
  <c r="J21" i="1"/>
  <c r="H24" i="15"/>
  <c r="H17" i="1"/>
  <c r="G21" i="1"/>
  <c r="H22" i="14"/>
  <c r="H17" i="19"/>
  <c r="G14" i="1"/>
  <c r="F28" i="4"/>
  <c r="H40" i="18"/>
  <c r="E12" i="1"/>
  <c r="J30" i="1"/>
  <c r="H11" i="17"/>
  <c r="F40" i="4"/>
  <c r="I16" i="1"/>
  <c r="F11" i="1"/>
  <c r="H29" i="19"/>
  <c r="F32" i="1"/>
  <c r="H14" i="20"/>
  <c r="H24" i="1"/>
  <c r="H13" i="17"/>
  <c r="I42" i="1"/>
  <c r="H19" i="14"/>
  <c r="H37" i="14"/>
  <c r="H38" i="20"/>
  <c r="H22" i="19"/>
  <c r="H15" i="18"/>
  <c r="H15" i="14"/>
  <c r="H18" i="18"/>
  <c r="H31" i="19"/>
  <c r="K10" i="1"/>
  <c r="H28" i="17"/>
  <c r="H19" i="15"/>
  <c r="H31" i="15"/>
  <c r="H8" i="14"/>
  <c r="H19" i="17"/>
  <c r="K20" i="1"/>
  <c r="J24" i="1"/>
  <c r="H30" i="15"/>
  <c r="G29" i="1"/>
  <c r="H17" i="18"/>
  <c r="H27" i="16"/>
  <c r="F40" i="1"/>
  <c r="H10" i="15"/>
  <c r="K21" i="1"/>
  <c r="H37" i="16"/>
  <c r="H28" i="1"/>
  <c r="F18" i="1"/>
  <c r="E38" i="1"/>
  <c r="H38" i="18"/>
  <c r="J41" i="1"/>
  <c r="H16" i="19"/>
  <c r="J25" i="1"/>
  <c r="H12" i="14"/>
  <c r="H23" i="15"/>
  <c r="H35" i="14"/>
  <c r="E23" i="1"/>
  <c r="H18" i="17"/>
  <c r="H13" i="14"/>
  <c r="H39" i="15"/>
  <c r="H16" i="16"/>
  <c r="H23" i="17"/>
  <c r="I27" i="1"/>
  <c r="H30" i="20"/>
  <c r="J15" i="1"/>
  <c r="F15" i="4"/>
  <c r="H35" i="18"/>
  <c r="H40" i="1"/>
  <c r="J19" i="1"/>
  <c r="H17" i="17"/>
  <c r="I20" i="1"/>
  <c r="H19" i="18"/>
  <c r="H37" i="17"/>
  <c r="E13" i="1"/>
  <c r="H17" i="20"/>
  <c r="E11" i="1"/>
  <c r="J35" i="1"/>
  <c r="F18" i="4"/>
  <c r="H31" i="18"/>
  <c r="F35" i="4"/>
  <c r="F17" i="4"/>
  <c r="F32" i="4"/>
  <c r="K40" i="1"/>
  <c r="I33" i="1"/>
  <c r="J11" i="1"/>
  <c r="H12" i="16"/>
  <c r="H33" i="16"/>
  <c r="H38" i="15"/>
  <c r="H16" i="15"/>
  <c r="G41" i="15"/>
  <c r="H41" i="15" s="1"/>
  <c r="E41" i="1"/>
  <c r="F13" i="4"/>
  <c r="H15" i="16"/>
  <c r="H25" i="20"/>
  <c r="E32" i="1"/>
  <c r="H18" i="16"/>
  <c r="F29" i="4"/>
  <c r="H26" i="18"/>
  <c r="I25" i="1"/>
  <c r="H36" i="1"/>
  <c r="H9" i="18"/>
  <c r="H14" i="15"/>
  <c r="E14" i="1"/>
  <c r="H20" i="14"/>
  <c r="F33" i="4"/>
  <c r="J32" i="1"/>
  <c r="F30" i="4"/>
  <c r="H32" i="15"/>
  <c r="H21" i="17"/>
  <c r="E31" i="1"/>
  <c r="K25" i="1"/>
  <c r="H21" i="20"/>
  <c r="H25" i="17"/>
  <c r="J10" i="1"/>
  <c r="H38" i="17"/>
  <c r="H38" i="14"/>
  <c r="H12" i="18"/>
  <c r="H40" i="19"/>
  <c r="H29" i="17"/>
  <c r="H32" i="20"/>
  <c r="G24" i="1"/>
  <c r="F10" i="4"/>
  <c r="I13" i="1"/>
  <c r="H19" i="20"/>
  <c r="H28" i="14"/>
  <c r="H29" i="1"/>
  <c r="H22" i="18"/>
  <c r="K43" i="1"/>
  <c r="K30" i="1"/>
  <c r="G41" i="20"/>
  <c r="H41" i="20" s="1"/>
  <c r="I26" i="1"/>
  <c r="H14" i="19"/>
  <c r="G19" i="1"/>
  <c r="H10" i="20"/>
  <c r="H25" i="1"/>
  <c r="H22" i="20"/>
  <c r="H21" i="15"/>
  <c r="F19" i="4"/>
  <c r="F11" i="4"/>
  <c r="F14" i="4"/>
  <c r="F7" i="4"/>
  <c r="F36" i="4"/>
  <c r="F23" i="4"/>
  <c r="F38" i="4"/>
  <c r="F31" i="4"/>
  <c r="J33" i="1"/>
  <c r="H25" i="18"/>
  <c r="H16" i="18"/>
  <c r="H18" i="19"/>
  <c r="H40" i="15"/>
  <c r="H24" i="17"/>
  <c r="H16" i="20"/>
  <c r="H32" i="19"/>
  <c r="G33" i="1"/>
  <c r="F26" i="4"/>
  <c r="K42" i="1"/>
  <c r="G41" i="16"/>
  <c r="H41" i="16" s="1"/>
  <c r="H32" i="14"/>
  <c r="J23" i="1"/>
  <c r="I35" i="1"/>
  <c r="J13" i="1"/>
  <c r="J12" i="1"/>
  <c r="F15" i="1"/>
  <c r="H30" i="18"/>
  <c r="I22" i="1"/>
  <c r="H8" i="17"/>
  <c r="H8" i="18"/>
  <c r="H39" i="16"/>
  <c r="H12" i="17"/>
  <c r="K34" i="1"/>
  <c r="G36" i="1"/>
  <c r="H11" i="1"/>
  <c r="I19" i="1"/>
  <c r="H14" i="16"/>
  <c r="H14" i="17"/>
  <c r="H13" i="15"/>
  <c r="H36" i="16"/>
  <c r="G41" i="17"/>
  <c r="H41" i="17" s="1"/>
  <c r="H25" i="16"/>
  <c r="H24" i="16"/>
  <c r="H33" i="18"/>
  <c r="H33" i="1"/>
  <c r="F22" i="1"/>
  <c r="H13" i="19"/>
  <c r="H9" i="17"/>
  <c r="G10" i="1"/>
  <c r="H21" i="19"/>
  <c r="G11" i="1"/>
  <c r="H27" i="17"/>
  <c r="H26" i="17"/>
  <c r="G22" i="1"/>
  <c r="E10" i="1"/>
  <c r="G18" i="1"/>
  <c r="H34" i="16"/>
  <c r="H36" i="17"/>
  <c r="G23" i="1"/>
  <c r="H30" i="16"/>
  <c r="H10" i="1"/>
  <c r="E33" i="1"/>
  <c r="I29" i="1"/>
  <c r="G28" i="1"/>
  <c r="H35" i="16"/>
  <c r="E20" i="1"/>
  <c r="H13" i="16"/>
  <c r="E30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E35" i="1"/>
  <c r="G41" i="19"/>
  <c r="H41" i="19" s="1"/>
  <c r="I41" i="1"/>
  <c r="I11" i="1"/>
  <c r="L13" i="8" l="1"/>
  <c r="L16" i="1"/>
  <c r="N16" i="1" s="1"/>
  <c r="L19" i="1"/>
  <c r="N19" i="1" s="1"/>
  <c r="L16" i="8"/>
  <c r="L36" i="8"/>
  <c r="L39" i="1"/>
  <c r="N39" i="1" s="1"/>
  <c r="L35" i="8"/>
  <c r="L38" i="1"/>
  <c r="N38" i="1" s="1"/>
  <c r="L10" i="8"/>
  <c r="L13" i="1"/>
  <c r="N13" i="1" s="1"/>
  <c r="L27" i="8"/>
  <c r="L30" i="1"/>
  <c r="N30" i="1" s="1"/>
  <c r="L31" i="8"/>
  <c r="L34" i="1"/>
  <c r="N34" i="1" s="1"/>
  <c r="L24" i="1"/>
  <c r="N24" i="1" s="1"/>
  <c r="L21" i="8"/>
  <c r="L20" i="1"/>
  <c r="N20" i="1" s="1"/>
  <c r="L17" i="8"/>
  <c r="L40" i="8"/>
  <c r="L43" i="1"/>
  <c r="N43" i="1" s="1"/>
  <c r="L41" i="1"/>
  <c r="N41" i="1" s="1"/>
  <c r="L38" i="8"/>
  <c r="L36" i="1"/>
  <c r="N36" i="1" s="1"/>
  <c r="L33" i="8"/>
  <c r="L24" i="8"/>
  <c r="L27" i="1"/>
  <c r="N27" i="1" s="1"/>
  <c r="L34" i="8"/>
  <c r="L37" i="1"/>
  <c r="N37" i="1" s="1"/>
  <c r="L26" i="1"/>
  <c r="N26" i="1" s="1"/>
  <c r="L23" i="8"/>
  <c r="L32" i="8"/>
  <c r="L35" i="1"/>
  <c r="N35" i="1" s="1"/>
  <c r="L40" i="1"/>
  <c r="N40" i="1" s="1"/>
  <c r="L37" i="8"/>
  <c r="L8" i="8"/>
  <c r="L11" i="1"/>
  <c r="N11" i="1" s="1"/>
  <c r="X41" i="9"/>
  <c r="Y41" i="9" s="1"/>
  <c r="M44" i="1"/>
  <c r="Y7" i="9"/>
  <c r="L12" i="8"/>
  <c r="L15" i="1"/>
  <c r="N15" i="1" s="1"/>
  <c r="L22" i="1"/>
  <c r="N22" i="1" s="1"/>
  <c r="L19" i="8"/>
  <c r="L14" i="1"/>
  <c r="N14" i="1" s="1"/>
  <c r="L11" i="8"/>
  <c r="L29" i="1"/>
  <c r="N29" i="1" s="1"/>
  <c r="L26" i="8"/>
  <c r="L32" i="1"/>
  <c r="N32" i="1" s="1"/>
  <c r="L29" i="8"/>
  <c r="L14" i="8"/>
  <c r="L17" i="1"/>
  <c r="N17" i="1" s="1"/>
  <c r="L20" i="8"/>
  <c r="L23" i="1"/>
  <c r="N23" i="1" s="1"/>
  <c r="L28" i="8"/>
  <c r="L31" i="1"/>
  <c r="N31" i="1" s="1"/>
  <c r="L15" i="8"/>
  <c r="L18" i="1"/>
  <c r="N18" i="1" s="1"/>
  <c r="L21" i="1"/>
  <c r="N21" i="1" s="1"/>
  <c r="L18" i="8"/>
  <c r="J41" i="8"/>
  <c r="L22" i="8"/>
  <c r="L25" i="1"/>
  <c r="N25" i="1" s="1"/>
  <c r="L33" i="1"/>
  <c r="N33" i="1" s="1"/>
  <c r="L30" i="8"/>
  <c r="L25" i="8"/>
  <c r="L28" i="1"/>
  <c r="N28" i="1" s="1"/>
  <c r="L12" i="1"/>
  <c r="N12" i="1" s="1"/>
  <c r="L9" i="8"/>
  <c r="L42" i="1"/>
  <c r="N42" i="1" s="1"/>
  <c r="L39" i="8"/>
  <c r="F43" i="21"/>
  <c r="E44" i="21"/>
  <c r="F44" i="1"/>
  <c r="J44" i="1"/>
  <c r="K44" i="1"/>
  <c r="G44" i="1"/>
  <c r="H44" i="1"/>
  <c r="I44" i="1"/>
  <c r="E44" i="1"/>
  <c r="R43" i="1" l="1"/>
  <c r="R36" i="1"/>
  <c r="R39" i="1"/>
  <c r="R29" i="1"/>
  <c r="Q33" i="1"/>
  <c r="Q32" i="1"/>
  <c r="Q41" i="1"/>
  <c r="Q35" i="1"/>
  <c r="Q31" i="1"/>
  <c r="Q24" i="1"/>
  <c r="Q34" i="1"/>
  <c r="Q23" i="1"/>
  <c r="Q14" i="1"/>
  <c r="Q11" i="1"/>
  <c r="Q43" i="1"/>
  <c r="Q25" i="1"/>
  <c r="Q42" i="1"/>
  <c r="Q19" i="1"/>
  <c r="Q38" i="1"/>
  <c r="Q28" i="1"/>
  <c r="Q16" i="1"/>
  <c r="Q36" i="1"/>
  <c r="Q29" i="1"/>
  <c r="Q39" i="1"/>
  <c r="Q26" i="1"/>
  <c r="Q12" i="1"/>
  <c r="Q21" i="1"/>
  <c r="Q22" i="1"/>
  <c r="Q27" i="1"/>
  <c r="Q13" i="1"/>
  <c r="Q18" i="1"/>
  <c r="Q15" i="1"/>
  <c r="Q20" i="1"/>
  <c r="Q37" i="1"/>
  <c r="Q30" i="1"/>
  <c r="Q17" i="1"/>
  <c r="Q40" i="1"/>
  <c r="L10" i="1"/>
  <c r="K41" i="8"/>
  <c r="L41" i="8" s="1"/>
  <c r="L7" i="8"/>
  <c r="L44" i="1" l="1"/>
  <c r="N10" i="1"/>
  <c r="R16" i="1" s="1"/>
  <c r="Q10" i="1" l="1"/>
  <c r="N44" i="1"/>
  <c r="O10" i="1" l="1"/>
  <c r="R44" i="1"/>
  <c r="O43" i="1"/>
  <c r="O30" i="1"/>
  <c r="O29" i="1"/>
  <c r="O11" i="1"/>
  <c r="O27" i="1"/>
  <c r="O21" i="1"/>
  <c r="O18" i="1"/>
  <c r="O40" i="1"/>
  <c r="O32" i="1"/>
  <c r="O35" i="1"/>
  <c r="O13" i="1"/>
  <c r="O25" i="1"/>
  <c r="O28" i="1"/>
  <c r="O38" i="1"/>
  <c r="O36" i="1"/>
  <c r="O41" i="1"/>
  <c r="O20" i="1"/>
  <c r="O37" i="1"/>
  <c r="O22" i="1"/>
  <c r="O15" i="1"/>
  <c r="O26" i="1"/>
  <c r="O24" i="1"/>
  <c r="O33" i="1"/>
  <c r="Q44" i="1"/>
  <c r="O34" i="1"/>
  <c r="O23" i="1"/>
  <c r="O16" i="1"/>
  <c r="O42" i="1"/>
  <c r="O14" i="1"/>
  <c r="O31" i="1"/>
  <c r="O19" i="1"/>
  <c r="O12" i="1"/>
  <c r="O17" i="1"/>
  <c r="O39" i="1"/>
  <c r="O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<sst xmlns="http://schemas.openxmlformats.org/spreadsheetml/2006/main" count="343" uniqueCount="152">
  <si>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</si>
  <si>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</si>
  <si>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</si>
  <si>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</si>
  <si>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</si>
  <si>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</si>
  <si>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</si>
  <si>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</si>
  <si>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</si>
  <si>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</si>
  <si>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</si>
  <si>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</si>
  <si>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</si>
  <si>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</si>
  <si>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</si>
  <si>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</si>
  <si>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</si>
  <si>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</si>
  <si>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</si>
  <si>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</si>
  <si>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</si>
  <si>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</si>
  <si>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</si>
  <si>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</si>
  <si>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</si>
  <si>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</si>
  <si>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</si>
  <si>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</si>
  <si>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</si>
  <si>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</si>
  <si>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</si>
  <si>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</si>
  <si>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</si>
  <si>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</si>
  <si>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</si>
  <si>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</si>
  <si>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</si>
  <si>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</si>
  <si>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</si>
  <si>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</si>
  <si>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</si>
  <si>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</si>
  <si>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</si>
  <si>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</si>
  <si>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</si>
  <si>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</si>
  <si>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</si>
  <si>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</si>
  <si>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</si>
  <si>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Subcommittee Members: Carrie Brogoitti, Bob Dannenhoffer, Jeff Luck, Alejandro Queral, Akiko Saito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</si>
  <si>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</si>
  <si>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</si>
  <si>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</si>
  <si>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</si>
  <si>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</si>
  <si>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</si>
  <si>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</si>
  <si>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</si>
  <si>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</si>
  <si>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</si>
  <si>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</si>
  <si>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</si>
  <si>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</si>
  <si>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</si>
  <si>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</si>
  <si>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</si>
  <si>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</si>
  <si>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</si>
  <si>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</si>
  <si>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</si>
  <si>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</si>
  <si>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</si>
  <si>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</si>
  <si>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</si>
  <si>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</si>
  <si>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</si>
  <si>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</si>
  <si>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</si>
  <si>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</si>
  <si>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</si>
  <si>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</si>
  <si>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</si>
  <si>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</si>
  <si>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</si>
  <si>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</si>
  <si>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</si>
  <si>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</si>
  <si>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</si>
  <si>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</si>
  <si>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</si>
  <si>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</si>
  <si>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</si>
  <si>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</si>
  <si>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</si>
  <si>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</si>
  <si>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</si>
  <si>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</si>
  <si>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</si>
  <si>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</si>
  <si>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</si>
  <si>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</si>
  <si>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</si>
  <si>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</si>
  <si>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</si>
  <si>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</si>
  <si>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</si>
  <si>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</si>
  <si>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</si>
  <si>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</si>
  <si>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</si>
  <si>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</si>
  <si>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</si>
  <si>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</si>
  <si>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</si>
  <si>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</si>
  <si>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</si>
  <si>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</si>
  <si>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</si>
  <si>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</si>
  <si>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</si>
  <si>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</si>
  <si>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</si>
  <si>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</si>
  <si>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</si>
  <si>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</si>
  <si>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</si>
  <si>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</si>
  <si>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</si>
  <si>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</si>
  <si>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</si>
  <si>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</si>
  <si>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</si>
  <si>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</si>
  <si>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Public Health Modernization LPHA Funding Formula</t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</si>
  <si>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</si>
  <si>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</si>
  <si>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</si>
  <si>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</si>
  <si>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extra small</t>
  </si>
  <si>
    <t>small</t>
  </si>
  <si>
    <t>medium</t>
  </si>
  <si>
    <t>large</t>
  </si>
  <si>
    <t>extra large</t>
  </si>
  <si>
    <t>factor</t>
  </si>
  <si>
    <t>#</t>
  </si>
  <si>
    <t>Factor</t>
  </si>
  <si>
    <t>for cell C8 calculation on 'Input' page</t>
  </si>
  <si>
    <t>Updated March, 2021</t>
  </si>
  <si>
    <r>
      <t>1</t>
    </r>
    <r>
      <rPr>
        <sz val="11"/>
        <rFont val="Calibri"/>
        <family val="2"/>
      </rPr>
      <t xml:space="preserve"> Source: Portland State University Certified Population estimate July 1, 2020</t>
    </r>
  </si>
  <si>
    <t>Funding Formula update: March 2021</t>
  </si>
  <si>
    <t>CARES 5 funds for 7/1/20-6/30/21</t>
  </si>
  <si>
    <t>Note:  CARES funds are available through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</si>
</sst>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17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44" fontId="3" fillId="0" borderId="17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3" fontId="0" fillId="0" borderId="0" xfId="0" applyNumberFormat="1"/>
    <xf numFmtId="0" fontId="24" fillId="0" borderId="0" xfId="0" applyFont="1" applyAlignment="1">
      <alignment vertical="center"/>
    </xf>
    <xf numFmtId="0" fontId="5" fillId="11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4" fillId="11" borderId="0" xfId="0" applyFont="1" applyFill="1" applyAlignment="1">
      <alignment vertical="center"/>
    </xf>
    <xf numFmtId="6" fontId="5" fillId="0" borderId="0" xfId="0" applyNumberFormat="1" applyFont="1"/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928687</xdr:colOff>
      <xdr:row>20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12000" b="0" cap="none" spc="0">
            <a:ln w="0"/>
            <a:solidFill>
              <a:schemeClr val="bg1">
                <a:lumMod val="65000"/>
                <a:alpha val="39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workbookViewId="0">
      <selection activeCell="C6" sqref="C6"/>
    </sheetView>
  </sheetViews>
  <sheetFormatPr defaultRowHeight="15" x14ac:dyDescent="0.25"/>
  <cols>
    <col min="2" max="2" width="25.85546875" bestFit="1" customWidth="1"/>
    <col min="3" max="3" width="22.85546875" customWidth="1"/>
    <col min="4" max="4" width="12.140625" bestFit="1" customWidth="1"/>
    <col min="8" max="8" width="18.42578125" bestFit="1" customWidth="1"/>
  </cols>
  <sheetData>
    <row r="1" spans="2:8" ht="18.75" x14ac:dyDescent="0.3">
      <c r="B1" s="24" t="s">
        <v>42</v>
      </c>
      <c r="C1" s="24"/>
    </row>
    <row r="2" spans="2:8" ht="15.75" x14ac:dyDescent="0.25">
      <c r="B2" s="200" t="s">
        <v>49</v>
      </c>
      <c r="C2" s="201"/>
      <c r="D2" s="202"/>
      <c r="E2" s="202"/>
      <c r="F2" s="202"/>
      <c r="G2" s="202"/>
      <c r="H2" s="202"/>
    </row>
    <row r="3" spans="2:8" ht="15.75" x14ac:dyDescent="0.25">
      <c r="B3" s="23" t="s">
        <v>147</v>
      </c>
    </row>
    <row r="4" spans="2:8" ht="15.75" x14ac:dyDescent="0.25">
      <c r="B4" s="23"/>
    </row>
    <row r="5" spans="2:8" ht="18.75" x14ac:dyDescent="0.3">
      <c r="B5" s="30" t="s">
        <v>94</v>
      </c>
      <c r="C5" s="208">
        <v>8000000</v>
      </c>
    </row>
    <row r="6" spans="2:8" x14ac:dyDescent="0.25">
      <c r="C6" s="9"/>
    </row>
    <row r="7" spans="2:8" x14ac:dyDescent="0.25">
      <c r="B7" s="30" t="s">
        <v>88</v>
      </c>
      <c r="C7" s="49">
        <f>IF(C5&lt;10000000,1860000/C5,18.45%)</f>
        <v>0.23250000000000001</v>
      </c>
    </row>
    <row r="8" spans="2:8" x14ac:dyDescent="0.25">
      <c r="B8" t="s">
        <v>35</v>
      </c>
      <c r="C8" s="34">
        <f>IF(C5&lt;10000000,30000/C5,C7*Floor!S12)</f>
        <v>3.7499999999999999E-3</v>
      </c>
      <c r="D8" s="6"/>
    </row>
    <row r="9" spans="2:8" x14ac:dyDescent="0.25">
      <c r="B9" t="s">
        <v>24</v>
      </c>
      <c r="C9" s="34">
        <f>C8*1.5</f>
        <v>5.6249999999999998E-3</v>
      </c>
      <c r="D9" s="6"/>
    </row>
    <row r="10" spans="2:8" x14ac:dyDescent="0.25">
      <c r="B10" t="s">
        <v>22</v>
      </c>
      <c r="C10" s="34">
        <f>C8*2</f>
        <v>7.4999999999999997E-3</v>
      </c>
      <c r="D10" s="6"/>
    </row>
    <row r="11" spans="2:8" x14ac:dyDescent="0.25">
      <c r="B11" t="s">
        <v>23</v>
      </c>
      <c r="C11" s="34">
        <f>C8*2.5</f>
        <v>9.3749999999999997E-3</v>
      </c>
      <c r="D11" s="6"/>
    </row>
    <row r="12" spans="2:8" x14ac:dyDescent="0.25">
      <c r="B12" t="s">
        <v>36</v>
      </c>
      <c r="C12" s="34">
        <f>C8*3</f>
        <v>1.125E-2</v>
      </c>
      <c r="D12" s="47"/>
    </row>
    <row r="14" spans="2:8" x14ac:dyDescent="0.25">
      <c r="B14" s="30" t="s">
        <v>87</v>
      </c>
      <c r="C14" s="50">
        <f>1-C7-C25-C28</f>
        <v>0.76749999999999996</v>
      </c>
      <c r="D14" s="22">
        <f>SUM(D15:D22)-1</f>
        <v>0</v>
      </c>
    </row>
    <row r="15" spans="2:8" x14ac:dyDescent="0.25">
      <c r="B15" t="s">
        <v>25</v>
      </c>
      <c r="C15" s="34">
        <f>$C$14*D15</f>
        <v>0</v>
      </c>
      <c r="D15" s="52">
        <v>0</v>
      </c>
    </row>
    <row r="16" spans="2:8" x14ac:dyDescent="0.25">
      <c r="B16" t="s">
        <v>26</v>
      </c>
      <c r="C16" s="34">
        <f t="shared" ref="C16:C22" si="0">$C$14*D16</f>
        <v>0.12791666666666665</v>
      </c>
      <c r="D16" s="52">
        <f>1/6</f>
        <v>0.16666666666666666</v>
      </c>
    </row>
    <row r="17" spans="2:4" x14ac:dyDescent="0.25">
      <c r="B17" t="s">
        <v>27</v>
      </c>
      <c r="C17" s="34">
        <f t="shared" si="0"/>
        <v>0.12791666666666665</v>
      </c>
      <c r="D17" s="52">
        <f>1/6</f>
        <v>0.16666666666666666</v>
      </c>
    </row>
    <row r="18" spans="2:4" x14ac:dyDescent="0.25">
      <c r="B18" t="s">
        <v>28</v>
      </c>
      <c r="C18" s="34">
        <f t="shared" si="0"/>
        <v>0.12791666666666665</v>
      </c>
      <c r="D18" s="52">
        <f>1/6</f>
        <v>0.16666666666666666</v>
      </c>
    </row>
    <row r="19" spans="2:4" x14ac:dyDescent="0.25">
      <c r="B19" t="s">
        <v>86</v>
      </c>
      <c r="C19" s="34">
        <f t="shared" si="0"/>
        <v>0.12791666666666665</v>
      </c>
      <c r="D19" s="52">
        <f>1/6</f>
        <v>0.16666666666666666</v>
      </c>
    </row>
    <row r="20" spans="2:4" x14ac:dyDescent="0.25">
      <c r="B20" t="s">
        <v>29</v>
      </c>
      <c r="C20" s="34">
        <f t="shared" si="0"/>
        <v>6.3958333333333325E-2</v>
      </c>
      <c r="D20" s="52">
        <f>1/12</f>
        <v>8.3333333333333329E-2</v>
      </c>
    </row>
    <row r="21" spans="2:4" x14ac:dyDescent="0.25">
      <c r="B21" t="s">
        <v>38</v>
      </c>
      <c r="C21" s="34">
        <f t="shared" si="0"/>
        <v>6.3958333333333325E-2</v>
      </c>
      <c r="D21" s="52">
        <f>1/12</f>
        <v>8.3333333333333329E-2</v>
      </c>
    </row>
    <row r="22" spans="2:4" x14ac:dyDescent="0.25">
      <c r="B22" t="s">
        <v>30</v>
      </c>
      <c r="C22" s="34">
        <f t="shared" si="0"/>
        <v>0.12791666666666665</v>
      </c>
      <c r="D22" s="52">
        <f>1/6</f>
        <v>0.16666666666666666</v>
      </c>
    </row>
    <row r="23" spans="2:4" x14ac:dyDescent="0.25">
      <c r="C23" s="29"/>
      <c r="D23" s="22"/>
    </row>
    <row r="24" spans="2:4" x14ac:dyDescent="0.25">
      <c r="C24" s="29"/>
    </row>
    <row r="25" spans="2:4" x14ac:dyDescent="0.25">
      <c r="B25" s="30" t="s">
        <v>31</v>
      </c>
      <c r="C25" s="49">
        <v>0</v>
      </c>
    </row>
    <row r="26" spans="2:4" x14ac:dyDescent="0.25">
      <c r="B26" s="88" t="s">
        <v>112</v>
      </c>
      <c r="C26" s="89">
        <v>0.5</v>
      </c>
    </row>
    <row r="27" spans="2:4" x14ac:dyDescent="0.25">
      <c r="B27" s="30"/>
      <c r="C27" s="87"/>
    </row>
    <row r="28" spans="2:4" x14ac:dyDescent="0.25">
      <c r="B28" s="30" t="s">
        <v>32</v>
      </c>
      <c r="C28" s="49">
        <v>0</v>
      </c>
    </row>
    <row r="29" spans="2:4" x14ac:dyDescent="0.25">
      <c r="B29" s="90" t="s">
        <v>113</v>
      </c>
      <c r="C29" s="89">
        <v>0.24</v>
      </c>
    </row>
    <row r="30" spans="2:4" x14ac:dyDescent="0.25">
      <c r="B30" s="30"/>
      <c r="C30" s="87"/>
    </row>
    <row r="31" spans="2:4" x14ac:dyDescent="0.25">
      <c r="B31" s="70" t="s">
        <v>102</v>
      </c>
      <c r="C31" s="34">
        <f>$C$28*D31</f>
        <v>0</v>
      </c>
      <c r="D31" s="52">
        <v>1</v>
      </c>
    </row>
    <row r="32" spans="2:4" x14ac:dyDescent="0.25">
      <c r="B32" s="70" t="s">
        <v>103</v>
      </c>
      <c r="C32" s="34">
        <f t="shared" ref="C32:C34" si="1">$C$28*D32</f>
        <v>0</v>
      </c>
      <c r="D32" s="52">
        <v>0</v>
      </c>
    </row>
    <row r="33" spans="2:4" x14ac:dyDescent="0.25">
      <c r="B33" s="70" t="s">
        <v>104</v>
      </c>
      <c r="C33" s="34">
        <f t="shared" si="1"/>
        <v>0</v>
      </c>
      <c r="D33" s="52">
        <v>0</v>
      </c>
    </row>
    <row r="34" spans="2:4" x14ac:dyDescent="0.25">
      <c r="B34" s="70" t="s">
        <v>105</v>
      </c>
      <c r="C34" s="34">
        <f t="shared" si="1"/>
        <v>0</v>
      </c>
      <c r="D34" s="52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8000000</v>
      </c>
    </row>
    <row r="4" spans="2:8" x14ac:dyDescent="0.25">
      <c r="B4" t="s">
        <v>41</v>
      </c>
      <c r="C4" s="14">
        <f>'County Data'!H9</f>
        <v>511666.66666666663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Data'!$B$12</f>
        <v>Clackamas</v>
      </c>
      <c r="C7" s="15">
        <f>VLOOKUP($B7,'County Data'!$B$10:$L$46,2,FALSE)</f>
        <v>426515</v>
      </c>
      <c r="D7" s="29">
        <f>VLOOKUP($B7,'County Data'!$B$10:$L$46,7,FALSE)</f>
        <v>0.13811687940583775</v>
      </c>
      <c r="E7" s="31">
        <f t="shared" ref="E7:E40" si="0">C7*D7</f>
        <v>58908.920819780891</v>
      </c>
      <c r="F7" s="6">
        <f t="shared" ref="F7:F40" si="1">E7/$E$41</f>
        <v>5.9280959726502651E-2</v>
      </c>
      <c r="G7" s="14">
        <f t="shared" ref="G7:G40" si="2">$C$4*F7</f>
        <v>30332.09106006052</v>
      </c>
      <c r="H7" s="10">
        <f t="shared" ref="H7:H40" si="3">G7/C7</f>
        <v>7.1116117979579896E-2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Data'!$B$10:$L$46,7,FALSE)</f>
        <v>0.16330220782308263</v>
      </c>
      <c r="E8" s="31">
        <f t="shared" si="0"/>
        <v>101260.43302693708</v>
      </c>
      <c r="F8" s="6">
        <f t="shared" si="1"/>
        <v>0.10189994263385664</v>
      </c>
      <c r="G8" s="14">
        <f t="shared" si="2"/>
        <v>52138.803980989978</v>
      </c>
      <c r="H8" s="10">
        <f t="shared" si="3"/>
        <v>8.4083995582811863E-2</v>
      </c>
    </row>
    <row r="9" spans="2:8" x14ac:dyDescent="0.25">
      <c r="B9" s="20" t="str">
        <f>+'County Data'!$B$18</f>
        <v>Deschutes</v>
      </c>
      <c r="C9" s="15">
        <f>VLOOKUP($B9,'County Data'!$B$10:$L$46,2,FALSE)</f>
        <v>197015</v>
      </c>
      <c r="D9" s="29">
        <f>VLOOKUP($B9,'County Data'!$B$10:$L$46,7,FALSE)</f>
        <v>0.18767801513128615</v>
      </c>
      <c r="E9" s="31">
        <f t="shared" si="0"/>
        <v>36975.384151090344</v>
      </c>
      <c r="F9" s="6">
        <f t="shared" si="1"/>
        <v>3.7208901949477333E-2</v>
      </c>
      <c r="G9" s="14">
        <f t="shared" si="2"/>
        <v>19038.554830815901</v>
      </c>
      <c r="H9" s="10">
        <f t="shared" si="3"/>
        <v>9.6635052309803321E-2</v>
      </c>
    </row>
    <row r="10" spans="2:8" x14ac:dyDescent="0.25">
      <c r="B10" s="20" t="str">
        <f>+'County Data'!$B$14</f>
        <v>Columbia</v>
      </c>
      <c r="C10" s="15">
        <f>VLOOKUP($B10,'County Data'!$B$10:$L$46,2,FALSE)</f>
        <v>53280</v>
      </c>
      <c r="D10" s="29">
        <f>VLOOKUP($B10,'County Data'!$B$10:$L$46,7,FALSE)</f>
        <v>0.21043750992536128</v>
      </c>
      <c r="E10" s="31">
        <f t="shared" si="0"/>
        <v>11212.110528823248</v>
      </c>
      <c r="F10" s="6">
        <f t="shared" si="1"/>
        <v>1.1282920540025936E-2</v>
      </c>
      <c r="G10" s="14">
        <f t="shared" si="2"/>
        <v>5773.0943429799363</v>
      </c>
      <c r="H10" s="10">
        <f t="shared" si="3"/>
        <v>0.10835387280367749</v>
      </c>
    </row>
    <row r="11" spans="2:8" x14ac:dyDescent="0.25">
      <c r="B11" s="20" t="str">
        <f>+'County Data'!$B$37</f>
        <v>Polk</v>
      </c>
      <c r="C11" s="15">
        <f>VLOOKUP($B11,'County Data'!$B$10:$L$46,2,FALSE)</f>
        <v>83805</v>
      </c>
      <c r="D11" s="29">
        <f>VLOOKUP($B11,'County Data'!$B$10:$L$46,7,FALSE)</f>
        <v>0.23463420155701728</v>
      </c>
      <c r="E11" s="31">
        <f t="shared" si="0"/>
        <v>19663.519261485832</v>
      </c>
      <c r="F11" s="6">
        <f t="shared" si="1"/>
        <v>1.9787704089633099E-2</v>
      </c>
      <c r="G11" s="14">
        <f t="shared" si="2"/>
        <v>10124.708592528936</v>
      </c>
      <c r="H11" s="10">
        <f t="shared" si="3"/>
        <v>0.12081270321017762</v>
      </c>
    </row>
    <row r="12" spans="2:8" x14ac:dyDescent="0.25">
      <c r="B12" s="20" t="str">
        <f>+'County Data'!$B$23</f>
        <v>Hood River</v>
      </c>
      <c r="C12" s="15">
        <f>VLOOKUP($B12,'County Data'!$B$10:$L$46,2,FALSE)</f>
        <v>25640</v>
      </c>
      <c r="D12" s="29">
        <f>VLOOKUP($B12,'County Data'!$B$10:$L$46,7,FALSE)</f>
        <v>0.2071000743234381</v>
      </c>
      <c r="E12" s="31">
        <f t="shared" si="0"/>
        <v>5310.0459056529526</v>
      </c>
      <c r="F12" s="6">
        <f t="shared" si="1"/>
        <v>5.3435814660721496E-3</v>
      </c>
      <c r="G12" s="14">
        <f t="shared" si="2"/>
        <v>2734.1325168069166</v>
      </c>
      <c r="H12" s="10">
        <f t="shared" si="3"/>
        <v>0.10663543357281266</v>
      </c>
    </row>
    <row r="13" spans="2:8" x14ac:dyDescent="0.25">
      <c r="B13" s="20" t="str">
        <f>+'County Data'!$B$46</f>
        <v>Yamhill</v>
      </c>
      <c r="C13" s="15">
        <f>VLOOKUP($B13,'County Data'!$B$10:$L$46,2,FALSE)</f>
        <v>108605</v>
      </c>
      <c r="D13" s="29">
        <f>VLOOKUP($B13,'County Data'!$B$10:$L$46,7,FALSE)</f>
        <v>0.21567317522496532</v>
      </c>
      <c r="E13" s="31">
        <f t="shared" si="0"/>
        <v>23423.18519530736</v>
      </c>
      <c r="F13" s="6">
        <f t="shared" si="1"/>
        <v>2.3571114169234127E-2</v>
      </c>
      <c r="G13" s="14">
        <f t="shared" si="2"/>
        <v>12060.553416591461</v>
      </c>
      <c r="H13" s="10">
        <f t="shared" si="3"/>
        <v>0.11104970688818619</v>
      </c>
    </row>
    <row r="14" spans="2:8" x14ac:dyDescent="0.25">
      <c r="B14" s="20" t="str">
        <f>+'County Data'!$B$35</f>
        <v>Multnomah</v>
      </c>
      <c r="C14" s="15">
        <f>VLOOKUP($B14,'County Data'!$B$10:$L$46,2,FALSE)</f>
        <v>829560</v>
      </c>
      <c r="D14" s="29">
        <f>VLOOKUP($B14,'County Data'!$B$10:$L$46,7,FALSE)</f>
        <v>0.23381795591069882</v>
      </c>
      <c r="E14" s="31">
        <f t="shared" si="0"/>
        <v>193966.0235052793</v>
      </c>
      <c r="F14" s="6">
        <f t="shared" si="1"/>
        <v>0.19519101466658131</v>
      </c>
      <c r="G14" s="14">
        <f t="shared" si="2"/>
        <v>99872.735837734101</v>
      </c>
      <c r="H14" s="10">
        <f t="shared" si="3"/>
        <v>0.12039241988250893</v>
      </c>
    </row>
    <row r="15" spans="2:8" x14ac:dyDescent="0.25">
      <c r="B15" s="20" t="str">
        <f>+'County Data'!$B$42</f>
        <v>Wallowa</v>
      </c>
      <c r="C15" s="15">
        <f>VLOOKUP($B15,'County Data'!$B$10:$L$46,2,FALSE)</f>
        <v>7160</v>
      </c>
      <c r="D15" s="29">
        <f>VLOOKUP($B15,'County Data'!$B$10:$L$46,7,FALSE)</f>
        <v>0.25040316669110102</v>
      </c>
      <c r="E15" s="31">
        <f t="shared" si="0"/>
        <v>1792.8866735082834</v>
      </c>
      <c r="F15" s="6">
        <f t="shared" si="1"/>
        <v>1.8042096376469179E-3</v>
      </c>
      <c r="G15" s="14">
        <f t="shared" si="2"/>
        <v>923.15393126267293</v>
      </c>
      <c r="H15" s="10">
        <f t="shared" si="3"/>
        <v>0.12893211330484258</v>
      </c>
    </row>
    <row r="16" spans="2:8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Data'!$B$10:$L$46,7,FALSE)</f>
        <v>0.22943563260789376</v>
      </c>
      <c r="E16" s="31">
        <f t="shared" si="0"/>
        <v>9052.3828845444477</v>
      </c>
      <c r="F16" s="6">
        <f t="shared" si="1"/>
        <v>9.1095531498408683E-3</v>
      </c>
      <c r="G16" s="14">
        <f t="shared" si="2"/>
        <v>4661.0546950019107</v>
      </c>
      <c r="H16" s="10">
        <f t="shared" si="3"/>
        <v>0.11813596996583223</v>
      </c>
    </row>
    <row r="17" spans="2:8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Data'!$B$10:$L$46,7,FALSE)</f>
        <v>0.23854671280276818</v>
      </c>
      <c r="E17" s="31">
        <f t="shared" si="0"/>
        <v>7414.0318339100349</v>
      </c>
      <c r="F17" s="6">
        <f t="shared" si="1"/>
        <v>7.4608551037901039E-3</v>
      </c>
      <c r="G17" s="14">
        <f t="shared" si="2"/>
        <v>3817.4708614392694</v>
      </c>
      <c r="H17" s="10">
        <f t="shared" si="3"/>
        <v>0.12282724779405628</v>
      </c>
    </row>
    <row r="18" spans="2:8" x14ac:dyDescent="0.25">
      <c r="B18" s="20" t="str">
        <f>+'County Data'!$B$34</f>
        <v>Morrow</v>
      </c>
      <c r="C18" s="15">
        <f>VLOOKUP($B18,'County Data'!$B$10:$L$46,2,FALSE)</f>
        <v>12825</v>
      </c>
      <c r="D18" s="29">
        <f>VLOOKUP($B18,'County Data'!$B$10:$L$46,7,FALSE)</f>
        <v>0.29377013963480131</v>
      </c>
      <c r="E18" s="31">
        <f t="shared" si="0"/>
        <v>3767.6020408163267</v>
      </c>
      <c r="F18" s="6">
        <f t="shared" si="1"/>
        <v>3.7913963070279953E-3</v>
      </c>
      <c r="G18" s="14">
        <f t="shared" si="2"/>
        <v>1939.931110429324</v>
      </c>
      <c r="H18" s="10">
        <f t="shared" si="3"/>
        <v>0.15126168502372897</v>
      </c>
    </row>
    <row r="19" spans="2:8" x14ac:dyDescent="0.25">
      <c r="B19" s="20" t="str">
        <f>+'County Data'!$B$39</f>
        <v>Tillamook</v>
      </c>
      <c r="C19" s="15">
        <f>VLOOKUP($B19,'County Data'!$B$10:$L$46,2,FALSE)</f>
        <v>26530</v>
      </c>
      <c r="D19" s="29">
        <f>VLOOKUP($B19,'County Data'!$B$10:$L$46,7,FALSE)</f>
        <v>0.25437453094758461</v>
      </c>
      <c r="E19" s="31">
        <f t="shared" si="0"/>
        <v>6748.5563060394197</v>
      </c>
      <c r="F19" s="6">
        <f t="shared" si="1"/>
        <v>6.7911767695466394E-3</v>
      </c>
      <c r="G19" s="14">
        <f t="shared" si="2"/>
        <v>3474.8187804180302</v>
      </c>
      <c r="H19" s="10">
        <f t="shared" si="3"/>
        <v>0.13097696119178404</v>
      </c>
    </row>
    <row r="20" spans="2:8" x14ac:dyDescent="0.25">
      <c r="B20" s="20" t="str">
        <f>+'County Data'!$B$10</f>
        <v>Baker</v>
      </c>
      <c r="C20" s="15">
        <f>VLOOKUP($B20,'County Data'!$B$10:$L$46,2,FALSE)</f>
        <v>16910</v>
      </c>
      <c r="D20" s="29">
        <f>VLOOKUP($B20,'County Data'!$B$10:$L$46,7,FALSE)</f>
        <v>0.26671850699844479</v>
      </c>
      <c r="E20" s="31">
        <f t="shared" si="0"/>
        <v>4510.2099533437013</v>
      </c>
      <c r="F20" s="6">
        <f t="shared" si="1"/>
        <v>4.5386941550024104E-3</v>
      </c>
      <c r="G20" s="14">
        <f t="shared" si="2"/>
        <v>2322.2985093095667</v>
      </c>
      <c r="H20" s="10">
        <f t="shared" si="3"/>
        <v>0.13733285093492412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Data'!$B$10:$L$46,7,FALSE)</f>
        <v>0.24108864278348205</v>
      </c>
      <c r="E21" s="31">
        <f t="shared" si="0"/>
        <v>5546.2442272340049</v>
      </c>
      <c r="F21" s="6">
        <f t="shared" si="1"/>
        <v>5.5812714966186295E-3</v>
      </c>
      <c r="G21" s="14">
        <f t="shared" si="2"/>
        <v>2855.7505824365321</v>
      </c>
      <c r="H21" s="10">
        <f t="shared" si="3"/>
        <v>0.1241360826966543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Data'!$B$10:$L$46,7,FALSE)</f>
        <v>0.25578581775085596</v>
      </c>
      <c r="E22" s="31">
        <f t="shared" si="0"/>
        <v>32566.65031603898</v>
      </c>
      <c r="F22" s="6">
        <f t="shared" si="1"/>
        <v>3.2772324784533069E-2</v>
      </c>
      <c r="G22" s="14">
        <f t="shared" si="2"/>
        <v>16768.50618141942</v>
      </c>
      <c r="H22" s="10">
        <f t="shared" si="3"/>
        <v>0.13170363007712393</v>
      </c>
    </row>
    <row r="23" spans="2:8" x14ac:dyDescent="0.25">
      <c r="B23" s="20" t="str">
        <f>+'County Data'!$B$22</f>
        <v>Harney</v>
      </c>
      <c r="C23" s="15">
        <f>VLOOKUP($B23,'County Data'!$B$10:$L$46,2,FALSE)</f>
        <v>7280</v>
      </c>
      <c r="D23" s="29">
        <f>VLOOKUP($B23,'County Data'!$B$10:$L$46,7,FALSE)</f>
        <v>0.27595435976898153</v>
      </c>
      <c r="E23" s="31">
        <f t="shared" si="0"/>
        <v>2008.9477391181856</v>
      </c>
      <c r="F23" s="6">
        <f t="shared" si="1"/>
        <v>2.0216352355129884E-3</v>
      </c>
      <c r="G23" s="14">
        <f t="shared" si="2"/>
        <v>1034.4033621708122</v>
      </c>
      <c r="H23" s="10">
        <f t="shared" si="3"/>
        <v>0.14208837392456211</v>
      </c>
    </row>
    <row r="24" spans="2:8" x14ac:dyDescent="0.25">
      <c r="B24" s="20" t="str">
        <f>+'County Data'!$B$21</f>
        <v>Grant</v>
      </c>
      <c r="C24" s="15">
        <f>VLOOKUP($B24,'County Data'!$B$10:$L$46,2,FALSE)</f>
        <v>7315</v>
      </c>
      <c r="D24" s="29">
        <f>VLOOKUP($B24,'County Data'!$B$10:$L$46,7,FALSE)</f>
        <v>0.27554486272289841</v>
      </c>
      <c r="E24" s="31">
        <f t="shared" si="0"/>
        <v>2015.6106708180018</v>
      </c>
      <c r="F24" s="6">
        <f t="shared" si="1"/>
        <v>2.0283402469146671E-3</v>
      </c>
      <c r="G24" s="14">
        <f t="shared" si="2"/>
        <v>1037.8340930046713</v>
      </c>
      <c r="H24" s="10">
        <f t="shared" si="3"/>
        <v>0.14187752467596326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Data'!$B$10:$L$46,7,FALSE)</f>
        <v>0.27764111677500819</v>
      </c>
      <c r="E25" s="31">
        <f t="shared" si="0"/>
        <v>31242.954870691672</v>
      </c>
      <c r="F25" s="6">
        <f t="shared" si="1"/>
        <v>3.1440269549200373E-2</v>
      </c>
      <c r="G25" s="14">
        <f t="shared" si="2"/>
        <v>16086.937919340857</v>
      </c>
      <c r="H25" s="10">
        <f t="shared" si="3"/>
        <v>0.14295688189230299</v>
      </c>
    </row>
    <row r="26" spans="2:8" x14ac:dyDescent="0.25">
      <c r="B26" s="20" t="str">
        <f>+'County Data'!$B$24</f>
        <v>Jackson</v>
      </c>
      <c r="C26" s="15">
        <f>VLOOKUP($B26,'County Data'!$B$10:$L$46,2,FALSE)</f>
        <v>223240</v>
      </c>
      <c r="D26" s="29">
        <f>VLOOKUP($B26,'County Data'!$B$10:$L$46,7,FALSE)</f>
        <v>0.26824137573224915</v>
      </c>
      <c r="E26" s="31">
        <f t="shared" si="0"/>
        <v>59882.204718467299</v>
      </c>
      <c r="F26" s="6">
        <f t="shared" si="1"/>
        <v>6.0260390393328048E-2</v>
      </c>
      <c r="G26" s="14">
        <f t="shared" si="2"/>
        <v>30833.233084586183</v>
      </c>
      <c r="H26" s="10">
        <f t="shared" si="3"/>
        <v>0.13811697314363997</v>
      </c>
    </row>
    <row r="27" spans="2:8" x14ac:dyDescent="0.25">
      <c r="B27" s="20" t="str">
        <f>+'County Data'!$B$33</f>
        <v>Marion</v>
      </c>
      <c r="C27" s="15">
        <f>VLOOKUP($B27,'County Data'!$B$10:$L$46,2,FALSE)</f>
        <v>349120</v>
      </c>
      <c r="D27" s="29">
        <f>VLOOKUP($B27,'County Data'!$B$10:$L$46,7,FALSE)</f>
        <v>0.27417406553517121</v>
      </c>
      <c r="E27" s="31">
        <f t="shared" si="0"/>
        <v>95719.649759638967</v>
      </c>
      <c r="F27" s="6">
        <f t="shared" si="1"/>
        <v>9.63241665858309E-2</v>
      </c>
      <c r="G27" s="14">
        <f t="shared" si="2"/>
        <v>49285.865236416808</v>
      </c>
      <c r="H27" s="10">
        <f t="shared" si="3"/>
        <v>0.14117170381650093</v>
      </c>
    </row>
    <row r="28" spans="2:8" x14ac:dyDescent="0.25">
      <c r="B28" s="20" t="str">
        <f>+'County Data'!$B$40</f>
        <v>Umatilla</v>
      </c>
      <c r="C28" s="15">
        <f>VLOOKUP($B28,'County Data'!$B$10:$L$46,2,FALSE)</f>
        <v>81495</v>
      </c>
      <c r="D28" s="29">
        <f>VLOOKUP($B28,'County Data'!$B$10:$L$46,7,FALSE)</f>
        <v>0.2947186267045061</v>
      </c>
      <c r="E28" s="31">
        <f t="shared" si="0"/>
        <v>24018.094483283727</v>
      </c>
      <c r="F28" s="6">
        <f t="shared" si="1"/>
        <v>2.4169780602953744E-2</v>
      </c>
      <c r="G28" s="14">
        <f t="shared" si="2"/>
        <v>12366.871075177998</v>
      </c>
      <c r="H28" s="10">
        <f t="shared" si="3"/>
        <v>0.15175005920827042</v>
      </c>
    </row>
    <row r="29" spans="2:8" x14ac:dyDescent="0.25">
      <c r="B29" s="20" t="str">
        <f>+'County Data'!$B$30</f>
        <v>Lincoln</v>
      </c>
      <c r="C29" s="15">
        <f>VLOOKUP($B29,'County Data'!$B$10:$L$46,2,FALSE)</f>
        <v>48305</v>
      </c>
      <c r="D29" s="29">
        <f>VLOOKUP($B29,'County Data'!$B$10:$L$46,7,FALSE)</f>
        <v>0.28095601322145947</v>
      </c>
      <c r="E29" s="31">
        <f t="shared" si="0"/>
        <v>13571.580218662599</v>
      </c>
      <c r="F29" s="6">
        <f t="shared" si="1"/>
        <v>1.365729144536262E-2</v>
      </c>
      <c r="G29" s="14">
        <f t="shared" si="2"/>
        <v>6987.9807895438735</v>
      </c>
      <c r="H29" s="10">
        <f t="shared" si="3"/>
        <v>0.14466371575497097</v>
      </c>
    </row>
    <row r="30" spans="2:8" x14ac:dyDescent="0.25">
      <c r="B30" s="20" t="str">
        <f>+'County Data'!$B$11</f>
        <v>Benton</v>
      </c>
      <c r="C30" s="15">
        <f>VLOOKUP($B30,'County Data'!$B$10:$L$46,2,FALSE)</f>
        <v>94665</v>
      </c>
      <c r="D30" s="29">
        <f>VLOOKUP($B30,'County Data'!$B$10:$L$46,7,FALSE)</f>
        <v>0.2787920514707628</v>
      </c>
      <c r="E30" s="31">
        <f t="shared" si="0"/>
        <v>26391.849552479762</v>
      </c>
      <c r="F30" s="6">
        <f t="shared" si="1"/>
        <v>2.6558527106867631E-2</v>
      </c>
      <c r="G30" s="14">
        <f t="shared" si="2"/>
        <v>13589.113036347271</v>
      </c>
      <c r="H30" s="10">
        <f t="shared" si="3"/>
        <v>0.1435494959736679</v>
      </c>
    </row>
    <row r="31" spans="2:8" x14ac:dyDescent="0.25">
      <c r="B31" s="20" t="str">
        <f>+'County Data'!$B$29</f>
        <v>Lane</v>
      </c>
      <c r="C31" s="15">
        <f>VLOOKUP($B31,'County Data'!$B$10:$L$46,2,FALSE)</f>
        <v>381365</v>
      </c>
      <c r="D31" s="29">
        <f>VLOOKUP($B31,'County Data'!$B$10:$L$46,7,FALSE)</f>
        <v>0.28730761886047818</v>
      </c>
      <c r="E31" s="31">
        <f t="shared" si="0"/>
        <v>109569.07006672626</v>
      </c>
      <c r="F31" s="6">
        <f t="shared" si="1"/>
        <v>0.11026105281689161</v>
      </c>
      <c r="G31" s="14">
        <f t="shared" si="2"/>
        <v>56416.905357976204</v>
      </c>
      <c r="H31" s="10">
        <f t="shared" si="3"/>
        <v>0.14793414539345826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Data'!$B$10:$L$46,7,FALSE)</f>
        <v>0.26902958152958151</v>
      </c>
      <c r="E32" s="31">
        <f t="shared" si="0"/>
        <v>6306.0533910533904</v>
      </c>
      <c r="F32" s="6">
        <f t="shared" si="1"/>
        <v>6.3458792302758388E-3</v>
      </c>
      <c r="G32" s="14">
        <f t="shared" si="2"/>
        <v>3246.9748728244708</v>
      </c>
      <c r="H32" s="10">
        <f t="shared" si="3"/>
        <v>0.13852281880650472</v>
      </c>
    </row>
    <row r="33" spans="2:8" x14ac:dyDescent="0.25">
      <c r="B33" s="20" t="str">
        <f>+'County Data'!$B$25</f>
        <v>Jefferson</v>
      </c>
      <c r="C33" s="15">
        <f>VLOOKUP($B33,'County Data'!$B$10:$L$46,2,FALSE)</f>
        <v>24105</v>
      </c>
      <c r="D33" s="29">
        <f>VLOOKUP($B33,'County Data'!$B$10:$L$46,7,FALSE)</f>
        <v>0.30349789583239062</v>
      </c>
      <c r="E33" s="31">
        <f t="shared" si="0"/>
        <v>7315.8167790397756</v>
      </c>
      <c r="F33" s="6">
        <f t="shared" si="1"/>
        <v>7.3620197723788883E-3</v>
      </c>
      <c r="G33" s="14">
        <f t="shared" si="2"/>
        <v>3766.9001168671975</v>
      </c>
      <c r="H33" s="10">
        <f t="shared" si="3"/>
        <v>0.1562704881504749</v>
      </c>
    </row>
    <row r="34" spans="2:8" x14ac:dyDescent="0.25">
      <c r="B34" s="20" t="str">
        <f>+'County Data'!$B$15</f>
        <v>Coos</v>
      </c>
      <c r="C34" s="15">
        <f>VLOOKUP($B34,'County Data'!$B$10:$L$46,2,FALSE)</f>
        <v>63315</v>
      </c>
      <c r="D34" s="29">
        <f>VLOOKUP($B34,'County Data'!$B$10:$L$46,7,FALSE)</f>
        <v>0.29889760747123673</v>
      </c>
      <c r="E34" s="31">
        <f t="shared" si="0"/>
        <v>18924.702017041353</v>
      </c>
      <c r="F34" s="6">
        <f t="shared" si="1"/>
        <v>1.9044220849681229E-2</v>
      </c>
      <c r="G34" s="14">
        <f t="shared" si="2"/>
        <v>9744.2930014202284</v>
      </c>
      <c r="H34" s="10">
        <f t="shared" si="3"/>
        <v>0.15390180844065748</v>
      </c>
    </row>
    <row r="35" spans="2:8" x14ac:dyDescent="0.25">
      <c r="B35" s="20" t="str">
        <f>+'County Data'!$B$27</f>
        <v>Klamath</v>
      </c>
      <c r="C35" s="15">
        <f>VLOOKUP($B35,'County Data'!$B$10:$L$46,2,FALSE)</f>
        <v>68075</v>
      </c>
      <c r="D35" s="29">
        <f>VLOOKUP($B35,'County Data'!$B$10:$L$46,7,FALSE)</f>
        <v>0.33197549770290963</v>
      </c>
      <c r="E35" s="31">
        <f t="shared" si="0"/>
        <v>22599.232006125574</v>
      </c>
      <c r="F35" s="6">
        <f t="shared" si="1"/>
        <v>2.2741957309039069E-2</v>
      </c>
      <c r="G35" s="14">
        <f t="shared" si="2"/>
        <v>11636.301489791656</v>
      </c>
      <c r="H35" s="10">
        <f t="shared" si="3"/>
        <v>0.17093355108030345</v>
      </c>
    </row>
    <row r="36" spans="2:8" x14ac:dyDescent="0.25">
      <c r="B36" s="20" t="str">
        <f>'County Data'!$B$45</f>
        <v>Wheeler</v>
      </c>
      <c r="C36" s="15">
        <f>VLOOKUP($B36,'County Data'!$B$10:$L$46,2,FALSE)</f>
        <v>1440</v>
      </c>
      <c r="D36" s="29">
        <f>VLOOKUP($B36,'County Data'!$B$10:$L$46,7,FALSE)</f>
        <v>0.3383084577114428</v>
      </c>
      <c r="E36" s="31">
        <f t="shared" si="0"/>
        <v>487.16417910447763</v>
      </c>
      <c r="F36" s="6">
        <f t="shared" si="1"/>
        <v>4.9024086131263609E-4</v>
      </c>
      <c r="G36" s="14">
        <f t="shared" si="2"/>
        <v>250.83990737163211</v>
      </c>
      <c r="H36" s="10">
        <f t="shared" si="3"/>
        <v>0.17419438011918897</v>
      </c>
    </row>
    <row r="37" spans="2:8" x14ac:dyDescent="0.25">
      <c r="B37" s="20" t="str">
        <f>+'County Data'!$B$41</f>
        <v>Union</v>
      </c>
      <c r="C37" s="15">
        <f>VLOOKUP($B37,'County Data'!$B$10:$L$46,2,FALSE)</f>
        <v>26840</v>
      </c>
      <c r="D37" s="29">
        <f>VLOOKUP($B37,'County Data'!$B$10:$L$46,7,FALSE)</f>
        <v>0.30462135000395663</v>
      </c>
      <c r="E37" s="31">
        <f t="shared" si="0"/>
        <v>8176.0370341061962</v>
      </c>
      <c r="F37" s="6">
        <f t="shared" si="1"/>
        <v>8.2276727428775599E-3</v>
      </c>
      <c r="G37" s="14">
        <f t="shared" si="2"/>
        <v>4209.8258867723516</v>
      </c>
      <c r="H37" s="10">
        <f t="shared" si="3"/>
        <v>0.15684895256230819</v>
      </c>
    </row>
    <row r="38" spans="2:8" x14ac:dyDescent="0.25">
      <c r="B38" s="20" t="str">
        <f>+'County Data'!$B$28</f>
        <v>Lake</v>
      </c>
      <c r="C38" s="15">
        <f>VLOOKUP($B38,'County Data'!$B$10:$L$46,2,FALSE)</f>
        <v>8075</v>
      </c>
      <c r="D38" s="29">
        <f>VLOOKUP($B38,'County Data'!$B$10:$L$46,7,FALSE)</f>
        <v>0.32648275862068965</v>
      </c>
      <c r="E38" s="31">
        <f t="shared" si="0"/>
        <v>2636.3482758620689</v>
      </c>
      <c r="F38" s="6">
        <f t="shared" si="1"/>
        <v>2.6529981162706235E-3</v>
      </c>
      <c r="G38" s="14">
        <f t="shared" si="2"/>
        <v>1357.4507028251355</v>
      </c>
      <c r="H38" s="10">
        <f t="shared" si="3"/>
        <v>0.16810535019506323</v>
      </c>
    </row>
    <row r="39" spans="2:8" x14ac:dyDescent="0.25">
      <c r="B39" s="20" t="str">
        <f>+'County Data'!$B$26</f>
        <v>Josephine</v>
      </c>
      <c r="C39" s="15">
        <f>VLOOKUP($B39,'County Data'!$B$10:$L$46,2,FALSE)</f>
        <v>86560</v>
      </c>
      <c r="D39" s="29">
        <f>VLOOKUP($B39,'County Data'!$B$10:$L$46,7,FALSE)</f>
        <v>0.33520512729383611</v>
      </c>
      <c r="E39" s="31">
        <f t="shared" si="0"/>
        <v>29015.355818554453</v>
      </c>
      <c r="F39" s="6">
        <f t="shared" si="1"/>
        <v>2.9198602109721496E-2</v>
      </c>
      <c r="G39" s="14">
        <f t="shared" si="2"/>
        <v>14939.951412807497</v>
      </c>
      <c r="H39" s="10">
        <f t="shared" si="3"/>
        <v>0.17259648120156534</v>
      </c>
    </row>
    <row r="40" spans="2:8" x14ac:dyDescent="0.25">
      <c r="B40" s="20" t="str">
        <f>+'County Data'!$B$32</f>
        <v>Malheur</v>
      </c>
      <c r="C40" s="15">
        <f>VLOOKUP($B40,'County Data'!$B$10:$L$46,2,FALSE)</f>
        <v>32105</v>
      </c>
      <c r="D40" s="29">
        <f>VLOOKUP($B40,'County Data'!$B$10:$L$46,7,FALSE)</f>
        <v>0.36521673972500096</v>
      </c>
      <c r="E40" s="31">
        <f t="shared" si="0"/>
        <v>11725.283428871157</v>
      </c>
      <c r="F40" s="6">
        <f t="shared" si="1"/>
        <v>1.179933438019015E-2</v>
      </c>
      <c r="G40" s="14">
        <f t="shared" si="2"/>
        <v>6037.326091197293</v>
      </c>
      <c r="H40" s="10">
        <f t="shared" si="3"/>
        <v>0.18804940324551606</v>
      </c>
    </row>
    <row r="41" spans="2:8" x14ac:dyDescent="0.25">
      <c r="B41" s="4" t="s">
        <v>2</v>
      </c>
      <c r="C41" s="5">
        <f>SUM(C7:C40)</f>
        <v>4268055</v>
      </c>
      <c r="D41" s="5"/>
      <c r="E41" s="5">
        <f>SUM(E7:E40)</f>
        <v>993724.14163943718</v>
      </c>
      <c r="F41" s="8">
        <f>SUM(F7:F40)</f>
        <v>1.0000000000000002</v>
      </c>
      <c r="G41" s="11">
        <f>SUM(G7:G40)</f>
        <v>511666.66666666657</v>
      </c>
      <c r="H41" s="12">
        <f t="shared" ref="H41" si="4">G41/C41</f>
        <v>0.1198828662392276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8000000</v>
      </c>
    </row>
    <row r="4" spans="2:8" x14ac:dyDescent="0.25">
      <c r="B4" t="s">
        <v>41</v>
      </c>
      <c r="C4" s="14">
        <f>'County Data'!J9</f>
        <v>511666.66666666663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Data'!$B$11</f>
        <v>Benton</v>
      </c>
      <c r="C7" s="15">
        <f>VLOOKUP($B7,'County Data'!$B$10:$L$46,2,FALSE)</f>
        <v>94665</v>
      </c>
      <c r="D7" s="29">
        <f>VLOOKUP($B7,'County Data'!$B$10:$L$46,9,FALSE)</f>
        <v>4.5600029431241265E-2</v>
      </c>
      <c r="E7" s="31">
        <f t="shared" ref="E7:E40" si="0">C7*D7</f>
        <v>4316.7267861084547</v>
      </c>
      <c r="F7" s="6">
        <f t="shared" ref="F7:F40" si="1">E7/$E$41</f>
        <v>1.0481257389999639E-2</v>
      </c>
      <c r="G7" s="14">
        <f t="shared" ref="G7:G40" si="2">$C$4*F7</f>
        <v>5362.9100312164819</v>
      </c>
      <c r="H7" s="10">
        <f t="shared" ref="H7:H40" si="3">G7/C7</f>
        <v>5.6651455461009685E-2</v>
      </c>
    </row>
    <row r="8" spans="2:8" x14ac:dyDescent="0.25">
      <c r="B8" s="20" t="str">
        <f>+'County Data'!$B$12</f>
        <v>Clackamas</v>
      </c>
      <c r="C8" s="15">
        <f>VLOOKUP($B8,'County Data'!$B$10:$L$46,2,FALSE)</f>
        <v>426515</v>
      </c>
      <c r="D8" s="29">
        <f>VLOOKUP($B8,'County Data'!$B$10:$L$46,9,FALSE)</f>
        <v>6.7258416497069859E-2</v>
      </c>
      <c r="E8" s="31">
        <f t="shared" si="0"/>
        <v>28686.72351224775</v>
      </c>
      <c r="F8" s="6">
        <f t="shared" si="1"/>
        <v>6.9652991191198568E-2</v>
      </c>
      <c r="G8" s="14">
        <f t="shared" si="2"/>
        <v>35639.113826163266</v>
      </c>
      <c r="H8" s="10">
        <f t="shared" si="3"/>
        <v>8.3558875599130777E-2</v>
      </c>
    </row>
    <row r="9" spans="2:8" x14ac:dyDescent="0.25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Data'!$B$10:$L$46,9,FALSE)</f>
        <v>7.5023041474654384E-2</v>
      </c>
      <c r="E9" s="31">
        <f t="shared" si="0"/>
        <v>537.16497695852536</v>
      </c>
      <c r="F9" s="6">
        <f t="shared" si="1"/>
        <v>1.3042670206772904E-3</v>
      </c>
      <c r="G9" s="14">
        <f t="shared" si="2"/>
        <v>667.34995891321353</v>
      </c>
      <c r="H9" s="10">
        <f t="shared" si="3"/>
        <v>9.3205301524191833E-2</v>
      </c>
    </row>
    <row r="10" spans="2:8" x14ac:dyDescent="0.25">
      <c r="B10" s="20" t="str">
        <f>+'County Data'!$B$18</f>
        <v>Deschutes</v>
      </c>
      <c r="C10" s="15">
        <f>VLOOKUP($B10,'County Data'!$B$10:$L$46,2,FALSE)</f>
        <v>197015</v>
      </c>
      <c r="D10" s="29">
        <f>VLOOKUP($B10,'County Data'!$B$10:$L$46,9,FALSE)</f>
        <v>6.4709260039046049E-2</v>
      </c>
      <c r="E10" s="31">
        <f t="shared" si="0"/>
        <v>12748.694866592657</v>
      </c>
      <c r="F10" s="6">
        <f t="shared" si="1"/>
        <v>3.0954553972081657E-2</v>
      </c>
      <c r="G10" s="14">
        <f t="shared" si="2"/>
        <v>15838.413449048447</v>
      </c>
      <c r="H10" s="10">
        <f t="shared" si="3"/>
        <v>8.0391916600504765E-2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Data'!$B$10:$L$46,9,FALSE)</f>
        <v>7.6918634867471275E-2</v>
      </c>
      <c r="E11" s="31">
        <f t="shared" si="0"/>
        <v>2064.496159842929</v>
      </c>
      <c r="F11" s="6">
        <f t="shared" si="1"/>
        <v>5.0127137306011389E-3</v>
      </c>
      <c r="G11" s="14">
        <f t="shared" si="2"/>
        <v>2564.8385254909158</v>
      </c>
      <c r="H11" s="10">
        <f t="shared" si="3"/>
        <v>9.5560302738111613E-2</v>
      </c>
    </row>
    <row r="12" spans="2:8" x14ac:dyDescent="0.25">
      <c r="B12" s="20" t="str">
        <f>+'County Data'!$B$13</f>
        <v>Clatsop</v>
      </c>
      <c r="C12" s="15">
        <f>VLOOKUP($B12,'County Data'!$B$10:$L$46,2,FALSE)</f>
        <v>39455</v>
      </c>
      <c r="D12" s="29">
        <f>VLOOKUP($B12,'County Data'!$B$10:$L$46,9,FALSE)</f>
        <v>8.4374440665831399E-2</v>
      </c>
      <c r="E12" s="31">
        <f t="shared" si="0"/>
        <v>3328.9935564703778</v>
      </c>
      <c r="F12" s="6">
        <f t="shared" si="1"/>
        <v>8.0829851051267554E-3</v>
      </c>
      <c r="G12" s="14">
        <f t="shared" si="2"/>
        <v>4135.7940454565232</v>
      </c>
      <c r="H12" s="10">
        <f t="shared" si="3"/>
        <v>0.10482306540252245</v>
      </c>
    </row>
    <row r="13" spans="2:8" x14ac:dyDescent="0.25">
      <c r="B13" s="20" t="str">
        <f>'County Data'!$B$45</f>
        <v>Wheeler</v>
      </c>
      <c r="C13" s="15">
        <f>VLOOKUP($B13,'County Data'!$B$10:$L$46,2,FALSE)</f>
        <v>1440</v>
      </c>
      <c r="D13" s="29">
        <f>VLOOKUP($B13,'County Data'!$B$10:$L$46,9,FALSE)</f>
        <v>7.9234972677595633E-2</v>
      </c>
      <c r="E13" s="31">
        <f t="shared" si="0"/>
        <v>114.09836065573771</v>
      </c>
      <c r="F13" s="6">
        <f t="shared" si="1"/>
        <v>2.7703728891489515E-4</v>
      </c>
      <c r="G13" s="14">
        <f t="shared" si="2"/>
        <v>141.75074616145469</v>
      </c>
      <c r="H13" s="10">
        <f t="shared" si="3"/>
        <v>9.8438018167676861E-2</v>
      </c>
    </row>
    <row r="14" spans="2:8" x14ac:dyDescent="0.25">
      <c r="B14" s="20" t="str">
        <f>+'County Data'!$B$29</f>
        <v>Lane</v>
      </c>
      <c r="C14" s="15">
        <f>VLOOKUP($B14,'County Data'!$B$10:$L$46,2,FALSE)</f>
        <v>381365</v>
      </c>
      <c r="D14" s="29">
        <f>VLOOKUP($B14,'County Data'!$B$10:$L$46,9,FALSE)</f>
        <v>8.6174325107355759E-2</v>
      </c>
      <c r="E14" s="31">
        <f t="shared" si="0"/>
        <v>32863.871494566731</v>
      </c>
      <c r="F14" s="6">
        <f t="shared" si="1"/>
        <v>7.9795343331643467E-2</v>
      </c>
      <c r="G14" s="14">
        <f t="shared" si="2"/>
        <v>40828.61733802424</v>
      </c>
      <c r="H14" s="10">
        <f t="shared" si="3"/>
        <v>0.1070591620574102</v>
      </c>
    </row>
    <row r="15" spans="2:8" x14ac:dyDescent="0.25">
      <c r="B15" s="20" t="str">
        <f>+'County Data'!$B$37</f>
        <v>Polk</v>
      </c>
      <c r="C15" s="15">
        <f>VLOOKUP($B15,'County Data'!$B$10:$L$46,2,FALSE)</f>
        <v>83805</v>
      </c>
      <c r="D15" s="29">
        <f>VLOOKUP($B15,'County Data'!$B$10:$L$46,9,FALSE)</f>
        <v>9.566050387968196E-2</v>
      </c>
      <c r="E15" s="31">
        <f t="shared" si="0"/>
        <v>8016.8285276367469</v>
      </c>
      <c r="F15" s="6">
        <f t="shared" si="1"/>
        <v>1.9465314209844337E-2</v>
      </c>
      <c r="G15" s="14">
        <f t="shared" si="2"/>
        <v>9959.7524373703527</v>
      </c>
      <c r="H15" s="10">
        <f t="shared" si="3"/>
        <v>0.11884437011360124</v>
      </c>
    </row>
    <row r="16" spans="2:8" x14ac:dyDescent="0.25">
      <c r="B16" s="20" t="str">
        <f>+'County Data'!$B$44</f>
        <v>Washington</v>
      </c>
      <c r="C16" s="15">
        <f>VLOOKUP($B16,'County Data'!$B$10:$L$46,2,FALSE)</f>
        <v>620080</v>
      </c>
      <c r="D16" s="29">
        <f>VLOOKUP($B16,'County Data'!$B$10:$L$46,9,FALSE)</f>
        <v>8.3950044504063362E-2</v>
      </c>
      <c r="E16" s="31">
        <f t="shared" si="0"/>
        <v>52055.743596079607</v>
      </c>
      <c r="F16" s="6">
        <f t="shared" si="1"/>
        <v>0.1263942969506775</v>
      </c>
      <c r="G16" s="14">
        <f t="shared" si="2"/>
        <v>64671.748606429981</v>
      </c>
      <c r="H16" s="10">
        <f t="shared" si="3"/>
        <v>0.10429581442141334</v>
      </c>
    </row>
    <row r="17" spans="2:8" x14ac:dyDescent="0.25">
      <c r="B17" s="20" t="str">
        <f>+'County Data'!$B$35</f>
        <v>Multnomah</v>
      </c>
      <c r="C17" s="15">
        <f>VLOOKUP($B17,'County Data'!$B$10:$L$46,2,FALSE)</f>
        <v>829560</v>
      </c>
      <c r="D17" s="29">
        <f>VLOOKUP($B17,'County Data'!$B$10:$L$46,9,FALSE)</f>
        <v>8.7056662281201555E-2</v>
      </c>
      <c r="E17" s="31">
        <f t="shared" si="0"/>
        <v>72218.724761993566</v>
      </c>
      <c r="F17" s="6">
        <f t="shared" si="1"/>
        <v>0.17535115843881841</v>
      </c>
      <c r="G17" s="14">
        <f t="shared" si="2"/>
        <v>89721.342734528749</v>
      </c>
      <c r="H17" s="10">
        <f t="shared" si="3"/>
        <v>0.10815533865486372</v>
      </c>
    </row>
    <row r="18" spans="2:8" x14ac:dyDescent="0.25">
      <c r="B18" s="20" t="str">
        <f>+'County Data'!$B$10</f>
        <v>Baker</v>
      </c>
      <c r="C18" s="15">
        <f>VLOOKUP($B18,'County Data'!$B$10:$L$46,2,FALSE)</f>
        <v>16910</v>
      </c>
      <c r="D18" s="29">
        <f>VLOOKUP($B18,'County Data'!$B$10:$L$46,9,FALSE)</f>
        <v>0.10388846896783405</v>
      </c>
      <c r="E18" s="31">
        <f t="shared" si="0"/>
        <v>1756.7540102460737</v>
      </c>
      <c r="F18" s="6">
        <f t="shared" si="1"/>
        <v>4.2654983427622807E-3</v>
      </c>
      <c r="G18" s="14">
        <f t="shared" si="2"/>
        <v>2182.513318713367</v>
      </c>
      <c r="H18" s="10">
        <f t="shared" si="3"/>
        <v>0.12906642925566925</v>
      </c>
    </row>
    <row r="19" spans="2:8" x14ac:dyDescent="0.25">
      <c r="B19" s="20" t="str">
        <f>+'County Data'!$B$14</f>
        <v>Columbia</v>
      </c>
      <c r="C19" s="15">
        <f>VLOOKUP($B19,'County Data'!$B$10:$L$46,2,FALSE)</f>
        <v>53280</v>
      </c>
      <c r="D19" s="29">
        <f>VLOOKUP($B19,'County Data'!$B$10:$L$46,9,FALSE)</f>
        <v>9.5876003321339609E-2</v>
      </c>
      <c r="E19" s="31">
        <f t="shared" si="0"/>
        <v>5108.2734569609747</v>
      </c>
      <c r="F19" s="6">
        <f t="shared" si="1"/>
        <v>1.2403177586594203E-2</v>
      </c>
      <c r="G19" s="14">
        <f t="shared" si="2"/>
        <v>6346.2925318073667</v>
      </c>
      <c r="H19" s="10">
        <f t="shared" si="3"/>
        <v>0.11911209706845659</v>
      </c>
    </row>
    <row r="20" spans="2:8" x14ac:dyDescent="0.25">
      <c r="B20" s="20" t="str">
        <f>+'County Data'!$B$39</f>
        <v>Tillamook</v>
      </c>
      <c r="C20" s="15">
        <f>VLOOKUP($B20,'County Data'!$B$10:$L$46,2,FALSE)</f>
        <v>26530</v>
      </c>
      <c r="D20" s="29">
        <f>VLOOKUP($B20,'County Data'!$B$10:$L$46,9,FALSE)</f>
        <v>9.6828904764352158E-2</v>
      </c>
      <c r="E20" s="31">
        <f t="shared" si="0"/>
        <v>2568.8708433982629</v>
      </c>
      <c r="F20" s="6">
        <f t="shared" si="1"/>
        <v>6.2373640597244359E-3</v>
      </c>
      <c r="G20" s="14">
        <f t="shared" si="2"/>
        <v>3191.4512772256694</v>
      </c>
      <c r="H20" s="10">
        <f t="shared" si="3"/>
        <v>0.1202959395863426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Data'!$B$10:$L$46,9,FALSE)</f>
        <v>0.10947055258663435</v>
      </c>
      <c r="E21" s="31">
        <f t="shared" si="0"/>
        <v>2518.3700622555234</v>
      </c>
      <c r="F21" s="6">
        <f t="shared" si="1"/>
        <v>6.1147452997750091E-3</v>
      </c>
      <c r="G21" s="14">
        <f t="shared" si="2"/>
        <v>3128.7113450515462</v>
      </c>
      <c r="H21" s="10">
        <f t="shared" si="3"/>
        <v>0.13600136253212547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Data'!$B$10:$L$46,9,FALSE)</f>
        <v>0.10089543820066277</v>
      </c>
      <c r="E22" s="31">
        <f t="shared" si="0"/>
        <v>12846.007191708384</v>
      </c>
      <c r="F22" s="6">
        <f t="shared" si="1"/>
        <v>3.1190833814956947E-2</v>
      </c>
      <c r="G22" s="14">
        <f t="shared" si="2"/>
        <v>15959.309968652969</v>
      </c>
      <c r="H22" s="10">
        <f t="shared" si="3"/>
        <v>0.12534802048894886</v>
      </c>
    </row>
    <row r="23" spans="2:8" x14ac:dyDescent="0.25">
      <c r="B23" s="20" t="str">
        <f>+'County Data'!$B$21</f>
        <v>Grant</v>
      </c>
      <c r="C23" s="15">
        <f>VLOOKUP($B23,'County Data'!$B$10:$L$46,2,FALSE)</f>
        <v>7315</v>
      </c>
      <c r="D23" s="29">
        <f>VLOOKUP($B23,'County Data'!$B$10:$L$46,9,FALSE)</f>
        <v>0.11228389444949954</v>
      </c>
      <c r="E23" s="31">
        <f t="shared" si="0"/>
        <v>821.35668789808915</v>
      </c>
      <c r="F23" s="6">
        <f t="shared" si="1"/>
        <v>1.9943006081740893E-3</v>
      </c>
      <c r="G23" s="14">
        <f t="shared" si="2"/>
        <v>1020.4171445157423</v>
      </c>
      <c r="H23" s="10">
        <f t="shared" si="3"/>
        <v>0.13949653376838583</v>
      </c>
    </row>
    <row r="24" spans="2:8" x14ac:dyDescent="0.25">
      <c r="B24" s="20" t="str">
        <f>+'County Data'!$B$22</f>
        <v>Harney</v>
      </c>
      <c r="C24" s="15">
        <f>VLOOKUP($B24,'County Data'!$B$10:$L$46,2,FALSE)</f>
        <v>7280</v>
      </c>
      <c r="D24" s="29">
        <f>VLOOKUP($B24,'County Data'!$B$10:$L$46,9,FALSE)</f>
        <v>0.1021883920076118</v>
      </c>
      <c r="E24" s="31">
        <f t="shared" si="0"/>
        <v>743.93149381541389</v>
      </c>
      <c r="F24" s="6">
        <f t="shared" si="1"/>
        <v>1.8063078470239729E-3</v>
      </c>
      <c r="G24" s="14">
        <f t="shared" si="2"/>
        <v>924.22751506059944</v>
      </c>
      <c r="H24" s="10">
        <f t="shared" si="3"/>
        <v>0.12695432899184059</v>
      </c>
    </row>
    <row r="25" spans="2:8" x14ac:dyDescent="0.25">
      <c r="B25" s="20" t="str">
        <f>+'County Data'!$B$30</f>
        <v>Lincoln</v>
      </c>
      <c r="C25" s="15">
        <f>VLOOKUP($B25,'County Data'!$B$10:$L$46,2,FALSE)</f>
        <v>48305</v>
      </c>
      <c r="D25" s="29">
        <f>VLOOKUP($B25,'County Data'!$B$10:$L$46,9,FALSE)</f>
        <v>9.4152142042677966E-2</v>
      </c>
      <c r="E25" s="31">
        <f t="shared" si="0"/>
        <v>4548.0192213715591</v>
      </c>
      <c r="F25" s="6">
        <f t="shared" si="1"/>
        <v>1.1042848536827321E-2</v>
      </c>
      <c r="G25" s="14">
        <f t="shared" si="2"/>
        <v>5650.2575013433125</v>
      </c>
      <c r="H25" s="10">
        <f t="shared" si="3"/>
        <v>0.11697044822157773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112530</v>
      </c>
      <c r="D26" s="29">
        <f>VLOOKUP($B26,'County Data'!$B$10:$L$46,9,FALSE)</f>
        <v>0.10892266853651207</v>
      </c>
      <c r="E26" s="31">
        <f t="shared" si="0"/>
        <v>12257.067890413704</v>
      </c>
      <c r="F26" s="6">
        <f t="shared" si="1"/>
        <v>2.9760855799248215E-2</v>
      </c>
      <c r="G26" s="14">
        <f t="shared" si="2"/>
        <v>15227.63788394867</v>
      </c>
      <c r="H26" s="10">
        <f t="shared" si="3"/>
        <v>0.13532069567180902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Data'!$B$10:$L$46,9,FALSE)</f>
        <v>0.10373965023348289</v>
      </c>
      <c r="E27" s="31">
        <f t="shared" si="0"/>
        <v>23158.839518122721</v>
      </c>
      <c r="F27" s="6">
        <f t="shared" si="1"/>
        <v>5.6230975428946436E-2</v>
      </c>
      <c r="G27" s="14">
        <f t="shared" si="2"/>
        <v>28771.515761144259</v>
      </c>
      <c r="H27" s="10">
        <f t="shared" si="3"/>
        <v>0.12888154345612013</v>
      </c>
    </row>
    <row r="28" spans="2:8" x14ac:dyDescent="0.25">
      <c r="B28" s="20" t="str">
        <f>+'County Data'!$B$15</f>
        <v>Coos</v>
      </c>
      <c r="C28" s="15">
        <f>VLOOKUP($B28,'County Data'!$B$10:$L$46,2,FALSE)</f>
        <v>63315</v>
      </c>
      <c r="D28" s="29">
        <f>VLOOKUP($B28,'County Data'!$B$10:$L$46,9,FALSE)</f>
        <v>0.11153339844579388</v>
      </c>
      <c r="E28" s="31">
        <f t="shared" si="0"/>
        <v>7061.7371225954394</v>
      </c>
      <c r="F28" s="6">
        <f t="shared" si="1"/>
        <v>1.7146298125845446E-2</v>
      </c>
      <c r="G28" s="14">
        <f t="shared" si="2"/>
        <v>8773.1892077242519</v>
      </c>
      <c r="H28" s="10">
        <f t="shared" si="3"/>
        <v>0.13856415079719264</v>
      </c>
    </row>
    <row r="29" spans="2:8" x14ac:dyDescent="0.25">
      <c r="B29" s="20" t="str">
        <f>+'County Data'!$B$26</f>
        <v>Josephine</v>
      </c>
      <c r="C29" s="15">
        <f>VLOOKUP($B29,'County Data'!$B$10:$L$46,2,FALSE)</f>
        <v>86560</v>
      </c>
      <c r="D29" s="29">
        <f>VLOOKUP($B29,'County Data'!$B$10:$L$46,9,FALSE)</f>
        <v>9.7927181538266198E-2</v>
      </c>
      <c r="E29" s="31">
        <f t="shared" si="0"/>
        <v>8476.576833952322</v>
      </c>
      <c r="F29" s="6">
        <f t="shared" si="1"/>
        <v>2.058160916476643E-2</v>
      </c>
      <c r="G29" s="14">
        <f t="shared" si="2"/>
        <v>10530.923355972156</v>
      </c>
      <c r="H29" s="10">
        <f t="shared" si="3"/>
        <v>0.1216603899719519</v>
      </c>
    </row>
    <row r="30" spans="2:8" x14ac:dyDescent="0.25">
      <c r="B30" s="20" t="str">
        <f>+'County Data'!$B$46</f>
        <v>Yamhill</v>
      </c>
      <c r="C30" s="15">
        <f>VLOOKUP($B30,'County Data'!$B$10:$L$46,2,FALSE)</f>
        <v>108605</v>
      </c>
      <c r="D30" s="29">
        <f>VLOOKUP($B30,'County Data'!$B$10:$L$46,9,FALSE)</f>
        <v>0.11749373577949944</v>
      </c>
      <c r="E30" s="31">
        <f t="shared" si="0"/>
        <v>12760.407174332537</v>
      </c>
      <c r="F30" s="6">
        <f t="shared" si="1"/>
        <v>3.0982992119348147E-2</v>
      </c>
      <c r="G30" s="14">
        <f t="shared" si="2"/>
        <v>15852.964301066468</v>
      </c>
      <c r="H30" s="10">
        <f t="shared" si="3"/>
        <v>0.14596900972392124</v>
      </c>
    </row>
    <row r="31" spans="2:8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Data'!$B$10:$L$46,9,FALSE)</f>
        <v>0.12596828136800087</v>
      </c>
      <c r="E31" s="31">
        <f t="shared" si="0"/>
        <v>8575.2907541266595</v>
      </c>
      <c r="F31" s="6">
        <f t="shared" si="1"/>
        <v>2.0821292159912817E-2</v>
      </c>
      <c r="G31" s="14">
        <f t="shared" si="2"/>
        <v>10653.56115515539</v>
      </c>
      <c r="H31" s="10">
        <f t="shared" si="3"/>
        <v>0.15649740955057495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Data'!$B$10:$L$46,9,FALSE)</f>
        <v>0.12438408845090734</v>
      </c>
      <c r="E32" s="31">
        <f t="shared" si="0"/>
        <v>2915.5630332892683</v>
      </c>
      <c r="F32" s="6">
        <f t="shared" si="1"/>
        <v>7.0791523538189334E-3</v>
      </c>
      <c r="G32" s="14">
        <f t="shared" si="2"/>
        <v>3622.1662877040208</v>
      </c>
      <c r="H32" s="10">
        <f t="shared" si="3"/>
        <v>0.15452927848566642</v>
      </c>
    </row>
    <row r="33" spans="2:8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Data'!$B$10:$L$46,9,FALSE)</f>
        <v>0.13515598630599354</v>
      </c>
      <c r="E33" s="31">
        <f t="shared" si="0"/>
        <v>4200.648054390279</v>
      </c>
      <c r="F33" s="6">
        <f t="shared" si="1"/>
        <v>1.0199411647860436E-2</v>
      </c>
      <c r="G33" s="14">
        <f t="shared" si="2"/>
        <v>5218.6989598219225</v>
      </c>
      <c r="H33" s="10">
        <f t="shared" si="3"/>
        <v>0.16791180694407731</v>
      </c>
    </row>
    <row r="34" spans="2:8" x14ac:dyDescent="0.25">
      <c r="B34" s="20" t="str">
        <f>+'County Data'!$B$33</f>
        <v>Marion</v>
      </c>
      <c r="C34" s="15">
        <f>VLOOKUP($B34,'County Data'!$B$10:$L$46,2,FALSE)</f>
        <v>349120</v>
      </c>
      <c r="D34" s="29">
        <f>VLOOKUP($B34,'County Data'!$B$10:$L$46,9,FALSE)</f>
        <v>0.14741470645743621</v>
      </c>
      <c r="E34" s="31">
        <f t="shared" si="0"/>
        <v>51465.422318420126</v>
      </c>
      <c r="F34" s="6">
        <f t="shared" si="1"/>
        <v>0.1249609634179986</v>
      </c>
      <c r="G34" s="14">
        <f t="shared" si="2"/>
        <v>63938.359615542613</v>
      </c>
      <c r="H34" s="10">
        <f t="shared" si="3"/>
        <v>0.18314149752389611</v>
      </c>
    </row>
    <row r="35" spans="2:8" x14ac:dyDescent="0.25">
      <c r="B35" s="20" t="str">
        <f>+'County Data'!$B$28</f>
        <v>Lake</v>
      </c>
      <c r="C35" s="15">
        <f>VLOOKUP($B35,'County Data'!$B$10:$L$46,2,FALSE)</f>
        <v>8075</v>
      </c>
      <c r="D35" s="29">
        <f>VLOOKUP($B35,'County Data'!$B$10:$L$46,9,FALSE)</f>
        <v>0.13104736038024103</v>
      </c>
      <c r="E35" s="31">
        <f t="shared" si="0"/>
        <v>1058.2074350704463</v>
      </c>
      <c r="F35" s="6">
        <f t="shared" si="1"/>
        <v>2.5693876514671816E-3</v>
      </c>
      <c r="G35" s="14">
        <f t="shared" si="2"/>
        <v>1314.6700150007077</v>
      </c>
      <c r="H35" s="10">
        <f t="shared" si="3"/>
        <v>0.16280743219823007</v>
      </c>
    </row>
    <row r="36" spans="2:8" x14ac:dyDescent="0.25">
      <c r="B36" s="20" t="str">
        <f>+'County Data'!$B$25</f>
        <v>Jefferson</v>
      </c>
      <c r="C36" s="15">
        <f>VLOOKUP($B36,'County Data'!$B$10:$L$46,2,FALSE)</f>
        <v>24105</v>
      </c>
      <c r="D36" s="29">
        <f>VLOOKUP($B36,'County Data'!$B$10:$L$46,9,FALSE)</f>
        <v>0.14004805260495701</v>
      </c>
      <c r="E36" s="31">
        <f t="shared" si="0"/>
        <v>3375.8583080424887</v>
      </c>
      <c r="F36" s="6">
        <f t="shared" si="1"/>
        <v>8.1967753791200981E-3</v>
      </c>
      <c r="G36" s="14">
        <f t="shared" si="2"/>
        <v>4194.0167356497832</v>
      </c>
      <c r="H36" s="10">
        <f t="shared" si="3"/>
        <v>0.17398949328561639</v>
      </c>
    </row>
    <row r="37" spans="2:8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Data'!$B$10:$L$46,9,FALSE)</f>
        <v>0.1782276866667995</v>
      </c>
      <c r="E37" s="31">
        <f t="shared" si="0"/>
        <v>14524.665324910826</v>
      </c>
      <c r="F37" s="6">
        <f t="shared" si="1"/>
        <v>3.5266710940312973E-2</v>
      </c>
      <c r="G37" s="14">
        <f t="shared" si="2"/>
        <v>18044.800431126801</v>
      </c>
      <c r="H37" s="10">
        <f t="shared" si="3"/>
        <v>0.22142217842968037</v>
      </c>
    </row>
    <row r="38" spans="2:8" x14ac:dyDescent="0.25">
      <c r="B38" s="20" t="str">
        <f>+'County Data'!$B$23</f>
        <v>Hood River</v>
      </c>
      <c r="C38" s="15">
        <f>VLOOKUP($B38,'County Data'!$B$10:$L$46,2,FALSE)</f>
        <v>25640</v>
      </c>
      <c r="D38" s="29">
        <f>VLOOKUP($B38,'County Data'!$B$10:$L$46,9,FALSE)</f>
        <v>0.18945337620578778</v>
      </c>
      <c r="E38" s="31">
        <f t="shared" si="0"/>
        <v>4857.5845659163988</v>
      </c>
      <c r="F38" s="6">
        <f t="shared" si="1"/>
        <v>1.1794490745372893E-2</v>
      </c>
      <c r="G38" s="14">
        <f t="shared" si="2"/>
        <v>6034.8477647157961</v>
      </c>
      <c r="H38" s="10">
        <f t="shared" si="3"/>
        <v>0.23536847756301857</v>
      </c>
    </row>
    <row r="39" spans="2:8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Data'!$B$10:$L$46,9,FALSE)</f>
        <v>0.1910630959626699</v>
      </c>
      <c r="E39" s="31">
        <f t="shared" si="0"/>
        <v>6134.0806958815174</v>
      </c>
      <c r="F39" s="6">
        <f t="shared" si="1"/>
        <v>1.4893895724756431E-2</v>
      </c>
      <c r="G39" s="14">
        <f t="shared" si="2"/>
        <v>7620.7099791670398</v>
      </c>
      <c r="H39" s="10">
        <f t="shared" si="3"/>
        <v>0.23736832204226879</v>
      </c>
    </row>
    <row r="40" spans="2:8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Data'!$B$10:$L$46,9,FALSE)</f>
        <v>0.24689265536723165</v>
      </c>
      <c r="E40" s="31">
        <f t="shared" si="0"/>
        <v>3166.398305084746</v>
      </c>
      <c r="F40" s="6">
        <f t="shared" si="1"/>
        <v>7.6881946158030498E-3</v>
      </c>
      <c r="G40" s="14">
        <f t="shared" si="2"/>
        <v>3933.79291175256</v>
      </c>
      <c r="H40" s="10">
        <f t="shared" si="3"/>
        <v>0.30672849214444914</v>
      </c>
    </row>
    <row r="41" spans="2:8" x14ac:dyDescent="0.25">
      <c r="B41" s="4" t="s">
        <v>2</v>
      </c>
      <c r="C41" s="5">
        <f>SUM(C6:C40)</f>
        <v>4268055</v>
      </c>
      <c r="D41" s="5"/>
      <c r="E41" s="5">
        <f>SUM(E6:E40)</f>
        <v>411851.99690135685</v>
      </c>
      <c r="F41" s="8">
        <f>SUM(F6:F40)</f>
        <v>0.99999999999999989</v>
      </c>
      <c r="G41" s="11">
        <f>SUM(G6:G40)</f>
        <v>511666.66666666657</v>
      </c>
      <c r="H41" s="12">
        <f t="shared" ref="H41" si="4">G41/C41</f>
        <v>0.1198828662392276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 x14ac:dyDescent="0.25">
      <c r="B3" t="s">
        <v>0</v>
      </c>
      <c r="C3" s="1">
        <f>'County Data'!C5</f>
        <v>8000000</v>
      </c>
    </row>
    <row r="4" spans="2:10" x14ac:dyDescent="0.25">
      <c r="B4" t="s">
        <v>41</v>
      </c>
      <c r="C4" s="14">
        <f>'County Data'!K9</f>
        <v>1023333.3333333333</v>
      </c>
      <c r="D4" s="9"/>
    </row>
    <row r="6" spans="2:10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Data'!$B$10:$L$46,10,FALSE)</f>
        <v>7.3637702503681884E-4</v>
      </c>
      <c r="E7" s="31">
        <f t="shared" ref="E7:E40" si="0">C7*D7</f>
        <v>1.0603829160530192</v>
      </c>
      <c r="F7" s="6">
        <f t="shared" ref="F7:F40" si="1">E7/$E$41</f>
        <v>4.2378203483932266E-6</v>
      </c>
      <c r="G7" s="14">
        <f t="shared" ref="G7:G40" si="2">$C$4*F7</f>
        <v>4.3367028231890679</v>
      </c>
      <c r="H7" s="10">
        <f t="shared" ref="H7:H40" si="3">G7/C7</f>
        <v>3.0115991827701859E-3</v>
      </c>
      <c r="J7" s="32"/>
    </row>
    <row r="8" spans="2:10" x14ac:dyDescent="0.25">
      <c r="B8" s="20" t="str">
        <f>+'County Data'!$B$16</f>
        <v>Crook</v>
      </c>
      <c r="C8" s="15">
        <f>VLOOKUP($B8,'County Data'!$B$10:$L$46,2,FALSE)</f>
        <v>23440</v>
      </c>
      <c r="D8" s="29">
        <f>VLOOKUP($B8,'County Data'!$B$10:$L$46,10,FALSE)</f>
        <v>1.2850082372322899E-2</v>
      </c>
      <c r="E8" s="31">
        <f t="shared" si="0"/>
        <v>301.20593080724876</v>
      </c>
      <c r="F8" s="6">
        <f t="shared" si="1"/>
        <v>1.2037695093984882E-3</v>
      </c>
      <c r="G8" s="14">
        <f t="shared" si="2"/>
        <v>1231.857464617786</v>
      </c>
      <c r="H8" s="10">
        <f t="shared" si="3"/>
        <v>5.2553646101441386E-2</v>
      </c>
      <c r="J8" s="32"/>
    </row>
    <row r="9" spans="2:10" x14ac:dyDescent="0.25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Data'!$B$10:$L$46,10,FALSE)</f>
        <v>1.0912397696271597E-2</v>
      </c>
      <c r="E9" s="31">
        <f t="shared" si="0"/>
        <v>78.132767505304628</v>
      </c>
      <c r="F9" s="6">
        <f t="shared" si="1"/>
        <v>3.1225760713189519E-4</v>
      </c>
      <c r="G9" s="14">
        <f t="shared" si="2"/>
        <v>319.54361796497273</v>
      </c>
      <c r="H9" s="10">
        <f t="shared" si="3"/>
        <v>4.4628996922482227E-2</v>
      </c>
      <c r="J9" s="32"/>
    </row>
    <row r="10" spans="2:10" x14ac:dyDescent="0.25">
      <c r="B10" s="20" t="str">
        <f>+'County Data'!$B$21</f>
        <v>Grant</v>
      </c>
      <c r="C10" s="15">
        <f>VLOOKUP($B10,'County Data'!$B$10:$L$46,2,FALSE)</f>
        <v>7315</v>
      </c>
      <c r="D10" s="29">
        <f>VLOOKUP($B10,'County Data'!$B$10:$L$46,10,FALSE)</f>
        <v>6.2718786464410732E-3</v>
      </c>
      <c r="E10" s="31">
        <f t="shared" si="0"/>
        <v>45.878792298716448</v>
      </c>
      <c r="F10" s="6">
        <f t="shared" si="1"/>
        <v>1.8335459447696887E-4</v>
      </c>
      <c r="G10" s="14">
        <f t="shared" si="2"/>
        <v>187.63286834809813</v>
      </c>
      <c r="H10" s="10">
        <f t="shared" si="3"/>
        <v>2.5650426295023669E-2</v>
      </c>
      <c r="J10" s="32"/>
    </row>
    <row r="11" spans="2:10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Data'!$B$10:$L$46,10,FALSE)</f>
        <v>1.370043472533263E-2</v>
      </c>
      <c r="E11" s="31">
        <f t="shared" si="0"/>
        <v>231.67435120537476</v>
      </c>
      <c r="F11" s="6">
        <f t="shared" si="1"/>
        <v>9.2588654992046887E-4</v>
      </c>
      <c r="G11" s="14">
        <f t="shared" si="2"/>
        <v>947.49056941861306</v>
      </c>
      <c r="H11" s="10">
        <f t="shared" si="3"/>
        <v>5.6031376074430102E-2</v>
      </c>
      <c r="J11" s="32"/>
    </row>
    <row r="12" spans="2:10" x14ac:dyDescent="0.25">
      <c r="B12" s="20" t="str">
        <f>+'County Data'!$B$19</f>
        <v>Douglas</v>
      </c>
      <c r="C12" s="15">
        <f>VLOOKUP($B12,'County Data'!$B$10:$L$46,2,FALSE)</f>
        <v>112530</v>
      </c>
      <c r="D12" s="29">
        <f>VLOOKUP($B12,'County Data'!$B$10:$L$46,10,FALSE)</f>
        <v>1.1854937610714216E-2</v>
      </c>
      <c r="E12" s="31">
        <f t="shared" si="0"/>
        <v>1334.0361293336707</v>
      </c>
      <c r="F12" s="6">
        <f t="shared" si="1"/>
        <v>5.331475421562995E-3</v>
      </c>
      <c r="G12" s="14">
        <f t="shared" si="2"/>
        <v>5455.8765147327977</v>
      </c>
      <c r="H12" s="10">
        <f t="shared" si="3"/>
        <v>4.8483751130656692E-2</v>
      </c>
      <c r="J12" s="32"/>
    </row>
    <row r="13" spans="2:10" x14ac:dyDescent="0.25">
      <c r="B13" s="20" t="str">
        <f>+'County Data'!$B$17</f>
        <v>Curry</v>
      </c>
      <c r="C13" s="15">
        <f>VLOOKUP($B13,'County Data'!$B$10:$L$46,2,FALSE)</f>
        <v>23005</v>
      </c>
      <c r="D13" s="29">
        <f>VLOOKUP($B13,'County Data'!$B$10:$L$46,10,FALSE)</f>
        <v>1.3102458447150332E-2</v>
      </c>
      <c r="E13" s="31">
        <f t="shared" si="0"/>
        <v>301.42205657669336</v>
      </c>
      <c r="F13" s="6">
        <f t="shared" si="1"/>
        <v>1.2046332560410441E-3</v>
      </c>
      <c r="G13" s="14">
        <f t="shared" si="2"/>
        <v>1232.7413653486685</v>
      </c>
      <c r="H13" s="10">
        <f t="shared" si="3"/>
        <v>5.3585801580033406E-2</v>
      </c>
      <c r="J13" s="32"/>
    </row>
    <row r="14" spans="2:10" x14ac:dyDescent="0.25">
      <c r="B14" s="20" t="str">
        <f>+'County Data'!$B$26</f>
        <v>Josephine</v>
      </c>
      <c r="C14" s="15">
        <f>VLOOKUP($B14,'County Data'!$B$10:$L$46,2,FALSE)</f>
        <v>86560</v>
      </c>
      <c r="D14" s="29">
        <f>VLOOKUP($B14,'County Data'!$B$10:$L$46,10,FALSE)</f>
        <v>1.3108498984552895E-2</v>
      </c>
      <c r="E14" s="31">
        <f t="shared" si="0"/>
        <v>1134.6716721028986</v>
      </c>
      <c r="F14" s="6">
        <f t="shared" si="1"/>
        <v>4.5347153636551086E-3</v>
      </c>
      <c r="G14" s="14">
        <f t="shared" si="2"/>
        <v>4640.5253888070611</v>
      </c>
      <c r="H14" s="10">
        <f t="shared" si="3"/>
        <v>5.3610505878085274E-2</v>
      </c>
      <c r="J14" s="32"/>
    </row>
    <row r="15" spans="2:10" x14ac:dyDescent="0.25">
      <c r="B15" s="20" t="str">
        <f>+'County Data'!$B$14</f>
        <v>Columbia</v>
      </c>
      <c r="C15" s="15">
        <f>VLOOKUP($B15,'County Data'!$B$10:$L$46,2,FALSE)</f>
        <v>53280</v>
      </c>
      <c r="D15" s="29">
        <f>VLOOKUP($B15,'County Data'!$B$10:$L$46,10,FALSE)</f>
        <v>1.3475133196508903E-2</v>
      </c>
      <c r="E15" s="31">
        <f t="shared" si="0"/>
        <v>717.95509670999434</v>
      </c>
      <c r="F15" s="6">
        <f t="shared" si="1"/>
        <v>2.8693075605134635E-3</v>
      </c>
      <c r="G15" s="14">
        <f t="shared" si="2"/>
        <v>2936.2580702587775</v>
      </c>
      <c r="H15" s="10">
        <f t="shared" si="3"/>
        <v>5.5109948766118196E-2</v>
      </c>
      <c r="J15" s="32"/>
    </row>
    <row r="16" spans="2:10" x14ac:dyDescent="0.25">
      <c r="B16" s="20" t="str">
        <f>+'County Data'!$B$41</f>
        <v>Union</v>
      </c>
      <c r="C16" s="15">
        <f>VLOOKUP($B16,'County Data'!$B$10:$L$46,2,FALSE)</f>
        <v>26840</v>
      </c>
      <c r="D16" s="29">
        <f>VLOOKUP($B16,'County Data'!$B$10:$L$46,10,FALSE)</f>
        <v>1.6070990431013329E-2</v>
      </c>
      <c r="E16" s="31">
        <f t="shared" si="0"/>
        <v>431.34538316839775</v>
      </c>
      <c r="F16" s="6">
        <f t="shared" si="1"/>
        <v>1.723871833752847E-3</v>
      </c>
      <c r="G16" s="14">
        <f t="shared" si="2"/>
        <v>1764.0955098737466</v>
      </c>
      <c r="H16" s="10">
        <f t="shared" si="3"/>
        <v>6.5726360278455534E-2</v>
      </c>
      <c r="J16" s="32"/>
    </row>
    <row r="17" spans="2:10" x14ac:dyDescent="0.25">
      <c r="B17" s="20" t="str">
        <f>+'County Data'!$B$15</f>
        <v>Coos</v>
      </c>
      <c r="C17" s="15">
        <f>VLOOKUP($B17,'County Data'!$B$10:$L$46,2,FALSE)</f>
        <v>63315</v>
      </c>
      <c r="D17" s="29">
        <f>VLOOKUP($B17,'County Data'!$B$10:$L$46,10,FALSE)</f>
        <v>1.4799926913941166E-2</v>
      </c>
      <c r="E17" s="31">
        <f t="shared" si="0"/>
        <v>937.05737255618487</v>
      </c>
      <c r="F17" s="6">
        <f t="shared" si="1"/>
        <v>3.7449498109718123E-3</v>
      </c>
      <c r="G17" s="14">
        <f t="shared" si="2"/>
        <v>3832.331973227821</v>
      </c>
      <c r="H17" s="10">
        <f t="shared" si="3"/>
        <v>6.0528026111155667E-2</v>
      </c>
      <c r="J17" s="32"/>
    </row>
    <row r="18" spans="2:10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Data'!$B$10:$L$46,10,FALSE)</f>
        <v>1.5169194865810968E-2</v>
      </c>
      <c r="E18" s="31">
        <f t="shared" si="0"/>
        <v>110.43173862310385</v>
      </c>
      <c r="F18" s="6">
        <f t="shared" si="1"/>
        <v>4.4134044594701133E-4</v>
      </c>
      <c r="G18" s="14">
        <f t="shared" si="2"/>
        <v>451.63838968577488</v>
      </c>
      <c r="H18" s="10">
        <f t="shared" si="3"/>
        <v>6.2038240341452597E-2</v>
      </c>
      <c r="J18" s="32"/>
    </row>
    <row r="19" spans="2:10" x14ac:dyDescent="0.25">
      <c r="B19" s="20" t="str">
        <f>+'County Data'!$B$18</f>
        <v>Deschutes</v>
      </c>
      <c r="C19" s="15">
        <f>VLOOKUP($B19,'County Data'!$B$10:$L$46,2,FALSE)</f>
        <v>197015</v>
      </c>
      <c r="D19" s="29">
        <f>VLOOKUP($B19,'County Data'!$B$10:$L$46,10,FALSE)</f>
        <v>2.1095839220861116E-2</v>
      </c>
      <c r="E19" s="31">
        <f t="shared" si="0"/>
        <v>4156.1967640979528</v>
      </c>
      <c r="F19" s="6">
        <f t="shared" si="1"/>
        <v>1.6610240463304227E-2</v>
      </c>
      <c r="G19" s="14">
        <f t="shared" si="2"/>
        <v>16997.812740781323</v>
      </c>
      <c r="H19" s="10">
        <f t="shared" si="3"/>
        <v>8.6276744109744549E-2</v>
      </c>
      <c r="J19" s="32"/>
    </row>
    <row r="20" spans="2:10" x14ac:dyDescent="0.25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Data'!$B$10:$L$46,10,FALSE)</f>
        <v>2.4106299860542066E-2</v>
      </c>
      <c r="E20" s="31">
        <f t="shared" si="0"/>
        <v>3069.2140982442156</v>
      </c>
      <c r="F20" s="6">
        <f t="shared" si="1"/>
        <v>1.2266114214220674E-2</v>
      </c>
      <c r="G20" s="14">
        <f t="shared" si="2"/>
        <v>12552.323545885822</v>
      </c>
      <c r="H20" s="10">
        <f t="shared" si="3"/>
        <v>9.8588780599166051E-2</v>
      </c>
      <c r="J20" s="32"/>
    </row>
    <row r="21" spans="2:10" x14ac:dyDescent="0.25">
      <c r="B21" s="20" t="str">
        <f>+'County Data'!$B$39</f>
        <v>Tillamook</v>
      </c>
      <c r="C21" s="15">
        <f>VLOOKUP($B21,'County Data'!$B$10:$L$46,2,FALSE)</f>
        <v>26530</v>
      </c>
      <c r="D21" s="29">
        <f>VLOOKUP($B21,'County Data'!$B$10:$L$46,10,FALSE)</f>
        <v>3.1383278345537939E-2</v>
      </c>
      <c r="E21" s="31">
        <f t="shared" si="0"/>
        <v>832.59837450712155</v>
      </c>
      <c r="F21" s="6">
        <f t="shared" si="1"/>
        <v>3.3274794228663187E-3</v>
      </c>
      <c r="G21" s="14">
        <f t="shared" si="2"/>
        <v>3405.1206093998658</v>
      </c>
      <c r="H21" s="10">
        <f t="shared" si="3"/>
        <v>0.1283498156577409</v>
      </c>
      <c r="J21" s="32"/>
    </row>
    <row r="22" spans="2:10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Data'!$B$10:$L$46,10,FALSE)</f>
        <v>1.7890772128060263E-2</v>
      </c>
      <c r="E22" s="31">
        <f t="shared" si="0"/>
        <v>144.46798493408662</v>
      </c>
      <c r="F22" s="6">
        <f t="shared" si="1"/>
        <v>5.7736630511164033E-4</v>
      </c>
      <c r="G22" s="14">
        <f t="shared" si="2"/>
        <v>590.83818556424524</v>
      </c>
      <c r="H22" s="10">
        <f t="shared" si="3"/>
        <v>7.3168815549751728E-2</v>
      </c>
      <c r="J22" s="32"/>
    </row>
    <row r="23" spans="2:10" x14ac:dyDescent="0.25">
      <c r="B23" s="20" t="str">
        <f>+'County Data'!$B$29</f>
        <v>Lane</v>
      </c>
      <c r="C23" s="15">
        <f>VLOOKUP($B23,'County Data'!$B$10:$L$46,2,FALSE)</f>
        <v>381365</v>
      </c>
      <c r="D23" s="29">
        <f>VLOOKUP($B23,'County Data'!$B$10:$L$46,10,FALSE)</f>
        <v>2.5791358183192822E-2</v>
      </c>
      <c r="E23" s="31">
        <f t="shared" si="0"/>
        <v>9835.9213135333302</v>
      </c>
      <c r="F23" s="6">
        <f t="shared" si="1"/>
        <v>3.9309259755748498E-2</v>
      </c>
      <c r="G23" s="14">
        <f t="shared" si="2"/>
        <v>40226.47581671596</v>
      </c>
      <c r="H23" s="10">
        <f t="shared" si="3"/>
        <v>0.10548025072231579</v>
      </c>
      <c r="J23" s="32"/>
    </row>
    <row r="24" spans="2:10" x14ac:dyDescent="0.25">
      <c r="B24" s="20" t="str">
        <f>+'County Data'!$B$13</f>
        <v>Clatsop</v>
      </c>
      <c r="C24" s="15">
        <f>VLOOKUP($B24,'County Data'!$B$10:$L$46,2,FALSE)</f>
        <v>39455</v>
      </c>
      <c r="D24" s="29">
        <f>VLOOKUP($B24,'County Data'!$B$10:$L$46,10,FALSE)</f>
        <v>3.0615877536489856E-2</v>
      </c>
      <c r="E24" s="31">
        <f t="shared" si="0"/>
        <v>1207.9494482022073</v>
      </c>
      <c r="F24" s="6">
        <f t="shared" si="1"/>
        <v>4.8275699975212829E-3</v>
      </c>
      <c r="G24" s="14">
        <f t="shared" si="2"/>
        <v>4940.213297463446</v>
      </c>
      <c r="H24" s="10">
        <f t="shared" si="3"/>
        <v>0.12521133690187419</v>
      </c>
      <c r="J24" s="32"/>
    </row>
    <row r="25" spans="2:10" x14ac:dyDescent="0.25">
      <c r="B25" s="20" t="str">
        <f>+'County Data'!$B$27</f>
        <v>Klamath</v>
      </c>
      <c r="C25" s="15">
        <f>VLOOKUP($B25,'County Data'!$B$10:$L$46,2,FALSE)</f>
        <v>68075</v>
      </c>
      <c r="D25" s="29">
        <f>VLOOKUP($B25,'County Data'!$B$10:$L$46,10,FALSE)</f>
        <v>3.3411008437123343E-2</v>
      </c>
      <c r="E25" s="31">
        <f t="shared" si="0"/>
        <v>2274.4543993571715</v>
      </c>
      <c r="F25" s="6">
        <f t="shared" si="1"/>
        <v>9.0898570593402322E-3</v>
      </c>
      <c r="G25" s="14">
        <f t="shared" si="2"/>
        <v>9301.9537240581703</v>
      </c>
      <c r="H25" s="10">
        <f t="shared" si="3"/>
        <v>0.13664272822707557</v>
      </c>
      <c r="J25" s="32"/>
    </row>
    <row r="26" spans="2:10" x14ac:dyDescent="0.25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Data'!$B$10:$L$46,10,FALSE)</f>
        <v>1.9758771929824562E-2</v>
      </c>
      <c r="E26" s="31">
        <f t="shared" si="0"/>
        <v>954.44747807017552</v>
      </c>
      <c r="F26" s="6">
        <f t="shared" si="1"/>
        <v>3.8144493680584242E-3</v>
      </c>
      <c r="G26" s="14">
        <f t="shared" si="2"/>
        <v>3903.4531866464536</v>
      </c>
      <c r="H26" s="10">
        <f t="shared" si="3"/>
        <v>8.0808470896314114E-2</v>
      </c>
      <c r="J26" s="32"/>
    </row>
    <row r="27" spans="2:10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Data'!$B$10:$L$46,10,FALSE)</f>
        <v>3.5138513530205188E-2</v>
      </c>
      <c r="E27" s="31">
        <f t="shared" si="0"/>
        <v>7844.3217604830061</v>
      </c>
      <c r="F27" s="6">
        <f t="shared" si="1"/>
        <v>3.1349832096178851E-2</v>
      </c>
      <c r="G27" s="14">
        <f t="shared" si="2"/>
        <v>32081.32817842302</v>
      </c>
      <c r="H27" s="10">
        <f t="shared" si="3"/>
        <v>0.14370779510133946</v>
      </c>
      <c r="J27" s="32"/>
    </row>
    <row r="28" spans="2:10" x14ac:dyDescent="0.25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Data'!$B$10:$L$46,10,FALSE)</f>
        <v>4.7645036926935759E-2</v>
      </c>
      <c r="E28" s="31">
        <f t="shared" si="0"/>
        <v>4510.3174206883732</v>
      </c>
      <c r="F28" s="6">
        <f t="shared" si="1"/>
        <v>1.8025483675512127E-2</v>
      </c>
      <c r="G28" s="14">
        <f t="shared" si="2"/>
        <v>18446.07829460741</v>
      </c>
      <c r="H28" s="10">
        <f t="shared" si="3"/>
        <v>0.19485637030166811</v>
      </c>
      <c r="J28" s="32"/>
    </row>
    <row r="29" spans="2:10" x14ac:dyDescent="0.25">
      <c r="B29" s="20" t="str">
        <f>+'County Data'!$B$12</f>
        <v>Clackamas</v>
      </c>
      <c r="C29" s="15">
        <f>VLOOKUP($B29,'County Data'!$B$10:$L$46,2,FALSE)</f>
        <v>426515</v>
      </c>
      <c r="D29" s="29">
        <f>VLOOKUP($B29,'County Data'!$B$10:$L$46,10,FALSE)</f>
        <v>4.0874504898895145E-2</v>
      </c>
      <c r="E29" s="31">
        <f t="shared" si="0"/>
        <v>17433.589456952264</v>
      </c>
      <c r="F29" s="6">
        <f t="shared" si="1"/>
        <v>6.9673340665658098E-2</v>
      </c>
      <c r="G29" s="14">
        <f t="shared" si="2"/>
        <v>71299.051947856788</v>
      </c>
      <c r="H29" s="10">
        <f t="shared" si="3"/>
        <v>0.16716657549642283</v>
      </c>
      <c r="J29" s="32"/>
    </row>
    <row r="30" spans="2:10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Data'!$B$10:$L$46,10,FALSE)</f>
        <v>5.112740819862184E-2</v>
      </c>
      <c r="E30" s="31">
        <f t="shared" si="0"/>
        <v>4284.7324440855036</v>
      </c>
      <c r="F30" s="6">
        <f t="shared" si="1"/>
        <v>1.7123933311330618E-2</v>
      </c>
      <c r="G30" s="14">
        <f t="shared" si="2"/>
        <v>17523.491755261664</v>
      </c>
      <c r="H30" s="10">
        <f t="shared" si="3"/>
        <v>0.20909840409595687</v>
      </c>
      <c r="J30" s="32"/>
    </row>
    <row r="31" spans="2:10" x14ac:dyDescent="0.25">
      <c r="B31" s="20" t="str">
        <f>+'County Data'!$B$25</f>
        <v>Jefferson</v>
      </c>
      <c r="C31" s="15">
        <f>VLOOKUP($B31,'County Data'!$B$10:$L$46,2,FALSE)</f>
        <v>24105</v>
      </c>
      <c r="D31" s="29">
        <f>VLOOKUP($B31,'County Data'!$B$10:$L$46,10,FALSE)</f>
        <v>4.9472082622527551E-2</v>
      </c>
      <c r="E31" s="31">
        <f t="shared" si="0"/>
        <v>1192.5245516160267</v>
      </c>
      <c r="F31" s="6">
        <f t="shared" si="1"/>
        <v>4.7659243979598608E-3</v>
      </c>
      <c r="G31" s="14">
        <f t="shared" si="2"/>
        <v>4877.1293005789239</v>
      </c>
      <c r="H31" s="10">
        <f t="shared" si="3"/>
        <v>0.20232853352329078</v>
      </c>
      <c r="J31" s="32"/>
    </row>
    <row r="32" spans="2:10" x14ac:dyDescent="0.25">
      <c r="B32" s="20" t="str">
        <f>+'County Data'!$B$46</f>
        <v>Yamhill</v>
      </c>
      <c r="C32" s="15">
        <f>VLOOKUP($B32,'County Data'!$B$10:$L$46,2,FALSE)</f>
        <v>108605</v>
      </c>
      <c r="D32" s="29">
        <f>VLOOKUP($B32,'County Data'!$B$10:$L$46,10,FALSE)</f>
        <v>5.2806933273375781E-2</v>
      </c>
      <c r="E32" s="31">
        <f t="shared" si="0"/>
        <v>5735.0969881549763</v>
      </c>
      <c r="F32" s="6">
        <f t="shared" si="1"/>
        <v>2.2920315245060635E-2</v>
      </c>
      <c r="G32" s="14">
        <f t="shared" si="2"/>
        <v>23455.122600778715</v>
      </c>
      <c r="H32" s="10">
        <f t="shared" si="3"/>
        <v>0.21596724460916822</v>
      </c>
      <c r="J32" s="32"/>
    </row>
    <row r="33" spans="2:10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Data'!$B$10:$L$46,10,FALSE)</f>
        <v>5.4470336679592647E-2</v>
      </c>
      <c r="E33" s="31">
        <f t="shared" si="0"/>
        <v>1692.9380640017396</v>
      </c>
      <c r="F33" s="6">
        <f t="shared" si="1"/>
        <v>6.7658270117181788E-3</v>
      </c>
      <c r="G33" s="14">
        <f t="shared" si="2"/>
        <v>6923.6963086582691</v>
      </c>
      <c r="H33" s="10">
        <f t="shared" si="3"/>
        <v>0.22277015150123131</v>
      </c>
      <c r="J33" s="32"/>
    </row>
    <row r="34" spans="2:10" x14ac:dyDescent="0.25">
      <c r="B34" s="20" t="str">
        <f>+'County Data'!$B$35</f>
        <v>Multnomah</v>
      </c>
      <c r="C34" s="15">
        <f>VLOOKUP($B34,'County Data'!$B$10:$L$46,2,FALSE)</f>
        <v>829560</v>
      </c>
      <c r="D34" s="29">
        <f>VLOOKUP($B34,'County Data'!$B$10:$L$46,10,FALSE)</f>
        <v>8.4254448034793039E-2</v>
      </c>
      <c r="E34" s="31">
        <f t="shared" si="0"/>
        <v>69894.119911742921</v>
      </c>
      <c r="F34" s="6">
        <f t="shared" si="1"/>
        <v>0.27933185183474835</v>
      </c>
      <c r="G34" s="14">
        <f t="shared" si="2"/>
        <v>285849.5950442258</v>
      </c>
      <c r="H34" s="10">
        <f t="shared" si="3"/>
        <v>0.34457977125732414</v>
      </c>
      <c r="J34" s="32"/>
    </row>
    <row r="35" spans="2:10" x14ac:dyDescent="0.25">
      <c r="B35" s="20" t="str">
        <f>+'County Data'!$B$32</f>
        <v>Malheur</v>
      </c>
      <c r="C35" s="15">
        <f>VLOOKUP($B35,'County Data'!$B$10:$L$46,2,FALSE)</f>
        <v>32105</v>
      </c>
      <c r="D35" s="29">
        <f>VLOOKUP($B35,'County Data'!$B$10:$L$46,10,FALSE)</f>
        <v>7.8250132298465336E-2</v>
      </c>
      <c r="E35" s="31">
        <f t="shared" si="0"/>
        <v>2512.2204974422298</v>
      </c>
      <c r="F35" s="6">
        <f t="shared" si="1"/>
        <v>1.0040089275805457E-2</v>
      </c>
      <c r="G35" s="14">
        <f t="shared" si="2"/>
        <v>10274.358025574251</v>
      </c>
      <c r="H35" s="10">
        <f t="shared" si="3"/>
        <v>0.32002361082617198</v>
      </c>
      <c r="J35" s="32"/>
    </row>
    <row r="36" spans="2:10" x14ac:dyDescent="0.25">
      <c r="B36" s="20" t="str">
        <f>+'County Data'!$B$44</f>
        <v>Washington</v>
      </c>
      <c r="C36" s="15">
        <f>VLOOKUP($B36,'County Data'!$B$10:$L$46,2,FALSE)</f>
        <v>620080</v>
      </c>
      <c r="D36" s="29">
        <f>VLOOKUP($B36,'County Data'!$B$10:$L$46,10,FALSE)</f>
        <v>9.0625859571268771E-2</v>
      </c>
      <c r="E36" s="31">
        <f t="shared" si="0"/>
        <v>56195.283002952339</v>
      </c>
      <c r="F36" s="6">
        <f t="shared" si="1"/>
        <v>0.22458444981371256</v>
      </c>
      <c r="G36" s="14">
        <f t="shared" si="2"/>
        <v>229824.75364269916</v>
      </c>
      <c r="H36" s="10">
        <f t="shared" si="3"/>
        <v>0.37063726235759764</v>
      </c>
      <c r="J36" s="32"/>
    </row>
    <row r="37" spans="2:10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Data'!$B$10:$L$46,10,FALSE)</f>
        <v>0.10513829579390996</v>
      </c>
      <c r="E37" s="31">
        <f t="shared" si="0"/>
        <v>8568.2454157246921</v>
      </c>
      <c r="F37" s="6">
        <f t="shared" si="1"/>
        <v>3.424299300100149E-2</v>
      </c>
      <c r="G37" s="14">
        <f t="shared" si="2"/>
        <v>35041.996171024854</v>
      </c>
      <c r="H37" s="10">
        <f t="shared" si="3"/>
        <v>0.42998952292809195</v>
      </c>
      <c r="J37" s="32"/>
    </row>
    <row r="38" spans="2:10" x14ac:dyDescent="0.25">
      <c r="B38" s="20" t="str">
        <f>+'County Data'!$B$33</f>
        <v>Marion</v>
      </c>
      <c r="C38" s="15">
        <f>VLOOKUP($B38,'County Data'!$B$10:$L$46,2,FALSE)</f>
        <v>349120</v>
      </c>
      <c r="D38" s="29">
        <f>VLOOKUP($B38,'County Data'!$B$10:$L$46,10,FALSE)</f>
        <v>0.10408129343246751</v>
      </c>
      <c r="E38" s="31">
        <f t="shared" si="0"/>
        <v>36336.861163143054</v>
      </c>
      <c r="F38" s="6">
        <f t="shared" si="1"/>
        <v>0.14522026647419861</v>
      </c>
      <c r="G38" s="14">
        <f t="shared" si="2"/>
        <v>148608.73935859656</v>
      </c>
      <c r="H38" s="10">
        <f t="shared" si="3"/>
        <v>0.42566664573383522</v>
      </c>
      <c r="J38" s="32"/>
    </row>
    <row r="39" spans="2:10" x14ac:dyDescent="0.25">
      <c r="B39" s="20" t="str">
        <f>+'County Data'!$B$23</f>
        <v>Hood River</v>
      </c>
      <c r="C39" s="15">
        <f>VLOOKUP($B39,'County Data'!$B$10:$L$46,2,FALSE)</f>
        <v>25640</v>
      </c>
      <c r="D39" s="29">
        <f>VLOOKUP($B39,'County Data'!$B$10:$L$46,10,FALSE)</f>
        <v>0.15446440944154463</v>
      </c>
      <c r="E39" s="31">
        <f t="shared" si="0"/>
        <v>3960.4674580812043</v>
      </c>
      <c r="F39" s="6">
        <f t="shared" si="1"/>
        <v>1.5828008287306791E-2</v>
      </c>
      <c r="G39" s="14">
        <f t="shared" si="2"/>
        <v>16197.328480677281</v>
      </c>
      <c r="H39" s="10">
        <f t="shared" si="3"/>
        <v>0.63172107958959756</v>
      </c>
      <c r="J39" s="32"/>
    </row>
    <row r="40" spans="2:10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Data'!$B$10:$L$46,10,FALSE)</f>
        <v>0.15267839876232836</v>
      </c>
      <c r="E40" s="31">
        <f t="shared" si="0"/>
        <v>1958.1004641268612</v>
      </c>
      <c r="F40" s="6">
        <f t="shared" si="1"/>
        <v>7.8255485499165948E-3</v>
      </c>
      <c r="G40" s="14">
        <f t="shared" si="2"/>
        <v>8008.1446827479813</v>
      </c>
      <c r="H40" s="10">
        <f t="shared" si="3"/>
        <v>0.62441673939555409</v>
      </c>
      <c r="J40" s="32"/>
    </row>
    <row r="41" spans="2:10" x14ac:dyDescent="0.25">
      <c r="B41" s="4" t="s">
        <v>2</v>
      </c>
      <c r="C41" s="5">
        <f>SUM(C7:C40)</f>
        <v>4268055</v>
      </c>
      <c r="D41" s="5"/>
      <c r="E41" s="5">
        <f>SUM(E7:E40)</f>
        <v>250218.94013394509</v>
      </c>
      <c r="F41" s="33">
        <f>SUM(F7:F40)</f>
        <v>1</v>
      </c>
      <c r="G41" s="11">
        <f>SUM(G7:G40)</f>
        <v>1023333.3333333334</v>
      </c>
      <c r="H41" s="12">
        <f t="shared" ref="H41" si="4">G41/C41</f>
        <v>0.23976573247845526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1" width="10.7109375" bestFit="1" customWidth="1"/>
    <col min="12" max="12" width="11.5703125" customWidth="1"/>
    <col min="14" max="14" width="11.5703125" bestFit="1" customWidth="1"/>
  </cols>
  <sheetData>
    <row r="3" spans="2:14" x14ac:dyDescent="0.25">
      <c r="B3" t="s">
        <v>0</v>
      </c>
      <c r="C3" s="1">
        <f>'County Data'!C5</f>
        <v>8000000</v>
      </c>
    </row>
    <row r="4" spans="2:14" x14ac:dyDescent="0.25">
      <c r="B4" t="s">
        <v>41</v>
      </c>
      <c r="C4" s="14">
        <f>'County Data'!L9</f>
        <v>0</v>
      </c>
    </row>
    <row r="6" spans="2:14" s="2" customFormat="1" ht="30" x14ac:dyDescent="0.25">
      <c r="B6" s="3" t="s">
        <v>7</v>
      </c>
      <c r="C6" s="3" t="s">
        <v>1</v>
      </c>
      <c r="D6" s="3" t="s">
        <v>126</v>
      </c>
      <c r="E6" s="3" t="s">
        <v>127</v>
      </c>
      <c r="F6" s="3" t="s">
        <v>110</v>
      </c>
      <c r="G6" s="3" t="s">
        <v>114</v>
      </c>
      <c r="H6" s="3" t="s">
        <v>33</v>
      </c>
      <c r="I6" s="3" t="s">
        <v>34</v>
      </c>
      <c r="J6" s="3" t="s">
        <v>107</v>
      </c>
      <c r="K6" s="13" t="s">
        <v>98</v>
      </c>
      <c r="L6" s="3" t="s">
        <v>109</v>
      </c>
    </row>
    <row r="7" spans="2:14" x14ac:dyDescent="0.25">
      <c r="B7" s="20" t="str">
        <f>'County Data'!$B$45</f>
        <v>Wheeler</v>
      </c>
      <c r="C7" s="15">
        <f>VLOOKUP($B7,'County Data'!$B$10:$P$46,2,FALSE)</f>
        <v>1440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4">
        <f>IF(F7&lt;0,0,$C$4*Input!$C$26/36)</f>
        <v>0</v>
      </c>
      <c r="H7" s="31">
        <f>IF(F7&lt;0,0,C7*F7)</f>
        <v>0</v>
      </c>
      <c r="I7" s="38">
        <f>H7/$H$41</f>
        <v>0</v>
      </c>
      <c r="J7" s="74">
        <f>($C$4-$G$41)*I7</f>
        <v>0</v>
      </c>
      <c r="K7" s="76">
        <f>G7+J7</f>
        <v>0</v>
      </c>
      <c r="L7" s="46">
        <f>K7/C7</f>
        <v>0</v>
      </c>
      <c r="N7" s="157"/>
    </row>
    <row r="8" spans="2:14" x14ac:dyDescent="0.25">
      <c r="B8" s="20" t="str">
        <f>+'County Data'!$B$42</f>
        <v>Wallowa</v>
      </c>
      <c r="C8" s="15">
        <f>VLOOKUP($B8,'County Data'!$B$10:$P$46,2,FALSE)</f>
        <v>7160</v>
      </c>
      <c r="D8" s="86">
        <v>0</v>
      </c>
      <c r="E8" s="47">
        <f>VLOOKUP($B8,'County Data'!$B$10:$P$46,11,FALSE)</f>
        <v>0</v>
      </c>
      <c r="F8" s="29">
        <f>IFERROR((E8-D8)/D8,-1)</f>
        <v>-1</v>
      </c>
      <c r="G8" s="74">
        <f>IF(F8&lt;0,0,$C$4*Input!$C$26/36)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4">
        <f t="shared" ref="J8:J40" si="2">($C$4-$G$41)*I8</f>
        <v>0</v>
      </c>
      <c r="K8" s="76">
        <f t="shared" ref="K8:K40" si="3">G8+J8</f>
        <v>0</v>
      </c>
      <c r="L8" s="46">
        <f t="shared" ref="L8:L40" si="4">K8/C8</f>
        <v>0</v>
      </c>
      <c r="N8" s="157"/>
    </row>
    <row r="9" spans="2:14" x14ac:dyDescent="0.25">
      <c r="B9" s="20" t="str">
        <f>+'County Data'!$B$22</f>
        <v>Harney</v>
      </c>
      <c r="C9" s="15">
        <f>VLOOKUP($B9,'County Data'!$B$10:$P$46,2,FALSE)</f>
        <v>7280</v>
      </c>
      <c r="D9" s="47">
        <v>96952</v>
      </c>
      <c r="E9" s="47">
        <f>VLOOKUP($B9,'County Data'!$B$10:$P$46,11,FALSE)</f>
        <v>172270</v>
      </c>
      <c r="F9" s="38">
        <f t="shared" ref="F9:F41" si="5">IFERROR((E9-D9)/D9,-1)</f>
        <v>0.77685865170393598</v>
      </c>
      <c r="G9" s="74">
        <f>IF(F9&lt;0,0,$C$4*Input!$C$26/36)</f>
        <v>0</v>
      </c>
      <c r="H9" s="31">
        <f>IF(F9&lt;0,0,C9*F9)</f>
        <v>5655.5309844046542</v>
      </c>
      <c r="I9" s="38">
        <f t="shared" si="1"/>
        <v>1.4072825184141408E-3</v>
      </c>
      <c r="J9" s="74">
        <f t="shared" si="2"/>
        <v>0</v>
      </c>
      <c r="K9" s="76">
        <f t="shared" si="3"/>
        <v>0</v>
      </c>
      <c r="L9" s="46">
        <f t="shared" si="4"/>
        <v>0</v>
      </c>
      <c r="N9" s="6"/>
    </row>
    <row r="10" spans="2:14" x14ac:dyDescent="0.25">
      <c r="B10" s="20" t="str">
        <f>+'County Data'!$B$21</f>
        <v>Grant</v>
      </c>
      <c r="C10" s="15">
        <f>VLOOKUP($B10,'County Data'!$B$10:$P$46,2,FALSE)</f>
        <v>7315</v>
      </c>
      <c r="D10" s="47">
        <v>73636</v>
      </c>
      <c r="E10" s="47">
        <f>VLOOKUP($B10,'County Data'!$B$10:$P$46,11,FALSE)</f>
        <v>0</v>
      </c>
      <c r="F10" s="38">
        <f t="shared" si="5"/>
        <v>-1</v>
      </c>
      <c r="G10" s="74">
        <f>IF(F10&lt;0,0,$C$4*Input!$C$26/36)</f>
        <v>0</v>
      </c>
      <c r="H10" s="31">
        <f t="shared" si="0"/>
        <v>0</v>
      </c>
      <c r="I10" s="38">
        <f t="shared" si="1"/>
        <v>0</v>
      </c>
      <c r="J10" s="74">
        <f t="shared" si="2"/>
        <v>0</v>
      </c>
      <c r="K10" s="76">
        <f t="shared" si="3"/>
        <v>0</v>
      </c>
      <c r="L10" s="46">
        <f t="shared" si="4"/>
        <v>0</v>
      </c>
      <c r="N10" s="157"/>
    </row>
    <row r="11" spans="2:14" x14ac:dyDescent="0.25">
      <c r="B11" s="20" t="str">
        <f>+'County Data'!$B$28</f>
        <v>Lake</v>
      </c>
      <c r="C11" s="15">
        <f>VLOOKUP($B11,'County Data'!$B$10:$P$46,2,FALSE)</f>
        <v>8075</v>
      </c>
      <c r="D11" s="47">
        <v>151267</v>
      </c>
      <c r="E11" s="47">
        <f>VLOOKUP($B11,'County Data'!$B$10:$P$46,11,FALSE)</f>
        <v>187877</v>
      </c>
      <c r="F11" s="38">
        <f t="shared" si="5"/>
        <v>0.24202238426094258</v>
      </c>
      <c r="G11" s="74">
        <f>IF(F11&lt;0,0,$C$4*Input!$C$26/36)</f>
        <v>0</v>
      </c>
      <c r="H11" s="31">
        <f t="shared" si="0"/>
        <v>1954.3307529071114</v>
      </c>
      <c r="I11" s="38">
        <f t="shared" si="1"/>
        <v>4.8630190716828712E-4</v>
      </c>
      <c r="J11" s="74">
        <f t="shared" si="2"/>
        <v>0</v>
      </c>
      <c r="K11" s="76">
        <f t="shared" si="3"/>
        <v>0</v>
      </c>
      <c r="L11" s="46">
        <f t="shared" si="4"/>
        <v>0</v>
      </c>
      <c r="N11" s="6"/>
    </row>
    <row r="12" spans="2:14" x14ac:dyDescent="0.25">
      <c r="B12" s="20" t="str">
        <f>+'County Data'!$B$34</f>
        <v>Morrow</v>
      </c>
      <c r="C12" s="15">
        <f>VLOOKUP($B12,'County Data'!$B$10:$P$46,2,FALSE)</f>
        <v>12825</v>
      </c>
      <c r="D12" s="47">
        <v>621474</v>
      </c>
      <c r="E12" s="47">
        <f>VLOOKUP($B12,'County Data'!$B$10:$P$46,11,FALSE)</f>
        <v>712823</v>
      </c>
      <c r="F12" s="38">
        <f t="shared" si="5"/>
        <v>0.14698764550085763</v>
      </c>
      <c r="G12" s="74">
        <f>IF(F12&lt;0,0,$C$4*Input!$C$26/36)</f>
        <v>0</v>
      </c>
      <c r="H12" s="31">
        <f t="shared" si="0"/>
        <v>1885.116553548499</v>
      </c>
      <c r="I12" s="38">
        <f t="shared" si="1"/>
        <v>4.6907913302877632E-4</v>
      </c>
      <c r="J12" s="74">
        <f t="shared" si="2"/>
        <v>0</v>
      </c>
      <c r="K12" s="76">
        <f t="shared" si="3"/>
        <v>0</v>
      </c>
      <c r="L12" s="46">
        <f t="shared" si="4"/>
        <v>0</v>
      </c>
      <c r="N12" s="6"/>
    </row>
    <row r="13" spans="2:14" x14ac:dyDescent="0.25">
      <c r="B13" s="20" t="str">
        <f>+'County Data'!$B$10</f>
        <v>Baker</v>
      </c>
      <c r="C13" s="15">
        <f>VLOOKUP($B13,'County Data'!$B$10:$P$46,2,FALSE)</f>
        <v>16910</v>
      </c>
      <c r="D13" s="47">
        <v>246676</v>
      </c>
      <c r="E13" s="47">
        <f>VLOOKUP($B13,'County Data'!$B$10:$P$46,11,FALSE)</f>
        <v>361764</v>
      </c>
      <c r="F13" s="38">
        <f t="shared" si="5"/>
        <v>0.46655531952845025</v>
      </c>
      <c r="G13" s="74">
        <f>IF(F13&lt;0,0,$C$4*Input!$C$26/36)</f>
        <v>0</v>
      </c>
      <c r="H13" s="31">
        <f t="shared" si="0"/>
        <v>7889.4504532260935</v>
      </c>
      <c r="I13" s="38">
        <f t="shared" si="1"/>
        <v>1.9631553135038404E-3</v>
      </c>
      <c r="J13" s="74">
        <f t="shared" si="2"/>
        <v>0</v>
      </c>
      <c r="K13" s="76">
        <f t="shared" si="3"/>
        <v>0</v>
      </c>
      <c r="L13" s="46">
        <f t="shared" si="4"/>
        <v>0</v>
      </c>
      <c r="N13" s="6"/>
    </row>
    <row r="14" spans="2:14" x14ac:dyDescent="0.25">
      <c r="B14" s="20" t="str">
        <f>+'County Data'!$B$16</f>
        <v>Crook</v>
      </c>
      <c r="C14" s="15">
        <f>VLOOKUP($B14,'County Data'!$B$10:$P$46,2,FALSE)</f>
        <v>23440</v>
      </c>
      <c r="D14" s="47">
        <v>622139</v>
      </c>
      <c r="E14" s="47">
        <f>VLOOKUP($B14,'County Data'!$B$10:$P$46,11,FALSE)</f>
        <v>1584688</v>
      </c>
      <c r="F14" s="38">
        <f t="shared" si="5"/>
        <v>1.5471606827413167</v>
      </c>
      <c r="G14" s="74">
        <f>IF(F14&lt;0,0,$C$4*Input!$C$26/36)</f>
        <v>0</v>
      </c>
      <c r="H14" s="31">
        <f t="shared" si="0"/>
        <v>36265.446403456466</v>
      </c>
      <c r="I14" s="38">
        <f t="shared" si="1"/>
        <v>9.0240383947682822E-3</v>
      </c>
      <c r="J14" s="74">
        <f t="shared" si="2"/>
        <v>0</v>
      </c>
      <c r="K14" s="76">
        <f t="shared" si="3"/>
        <v>0</v>
      </c>
      <c r="L14" s="46">
        <f t="shared" si="4"/>
        <v>0</v>
      </c>
      <c r="N14" s="6"/>
    </row>
    <row r="15" spans="2:14" x14ac:dyDescent="0.25">
      <c r="B15" s="20" t="str">
        <f>+'County Data'!$B$17</f>
        <v>Curry</v>
      </c>
      <c r="C15" s="15">
        <f>VLOOKUP($B15,'County Data'!$B$10:$P$46,2,FALSE)</f>
        <v>23005</v>
      </c>
      <c r="D15" s="47">
        <v>144795</v>
      </c>
      <c r="E15" s="47">
        <f>VLOOKUP($B15,'County Data'!$B$10:$P$46,11,FALSE)</f>
        <v>703878</v>
      </c>
      <c r="F15" s="38">
        <f t="shared" si="5"/>
        <v>3.8612037708484408</v>
      </c>
      <c r="G15" s="74">
        <f>IF(F15&lt;0,0,$C$4*Input!$C$26/36)</f>
        <v>0</v>
      </c>
      <c r="H15" s="31">
        <f t="shared" si="0"/>
        <v>88826.992748368386</v>
      </c>
      <c r="I15" s="38">
        <f t="shared" si="1"/>
        <v>2.2103083583625251E-2</v>
      </c>
      <c r="J15" s="74">
        <f t="shared" si="2"/>
        <v>0</v>
      </c>
      <c r="K15" s="76">
        <f t="shared" si="3"/>
        <v>0</v>
      </c>
      <c r="L15" s="46">
        <f t="shared" si="4"/>
        <v>0</v>
      </c>
      <c r="N15" s="6"/>
    </row>
    <row r="16" spans="2:14" x14ac:dyDescent="0.25">
      <c r="B16" s="20" t="str">
        <f>+'County Data'!$B$25</f>
        <v>Jefferson</v>
      </c>
      <c r="C16" s="15">
        <f>VLOOKUP($B16,'County Data'!$B$10:$P$46,2,FALSE)</f>
        <v>24105</v>
      </c>
      <c r="D16" s="47">
        <v>566944</v>
      </c>
      <c r="E16" s="47">
        <f>VLOOKUP($B16,'County Data'!$B$10:$P$46,11,FALSE)</f>
        <v>261557</v>
      </c>
      <c r="F16" s="38">
        <f t="shared" si="5"/>
        <v>-0.53865461139019022</v>
      </c>
      <c r="G16" s="74">
        <f>IF(F16&lt;0,0,$C$4*Input!$C$26/36)</f>
        <v>0</v>
      </c>
      <c r="H16" s="31">
        <f t="shared" si="0"/>
        <v>0</v>
      </c>
      <c r="I16" s="38">
        <f t="shared" si="1"/>
        <v>0</v>
      </c>
      <c r="J16" s="74">
        <f t="shared" si="2"/>
        <v>0</v>
      </c>
      <c r="K16" s="76">
        <f t="shared" si="3"/>
        <v>0</v>
      </c>
      <c r="L16" s="46">
        <f t="shared" si="4"/>
        <v>0</v>
      </c>
      <c r="N16" s="157"/>
    </row>
    <row r="17" spans="2:14" x14ac:dyDescent="0.25">
      <c r="B17" s="20" t="str">
        <f>+'County Data'!$B$23</f>
        <v>Hood River</v>
      </c>
      <c r="C17" s="15">
        <f>VLOOKUP($B17,'County Data'!$B$10:$P$46,2,FALSE)</f>
        <v>25640</v>
      </c>
      <c r="D17" s="47">
        <v>822751</v>
      </c>
      <c r="E17" s="47">
        <f>VLOOKUP($B17,'County Data'!$B$10:$P$46,11,FALSE)</f>
        <v>729676</v>
      </c>
      <c r="F17" s="38">
        <f t="shared" si="5"/>
        <v>-0.11312657170881592</v>
      </c>
      <c r="G17" s="74">
        <f>IF(F17&lt;0,0,$C$4*Input!$C$26/36)</f>
        <v>0</v>
      </c>
      <c r="H17" s="31">
        <f t="shared" si="0"/>
        <v>0</v>
      </c>
      <c r="I17" s="38">
        <f t="shared" si="1"/>
        <v>0</v>
      </c>
      <c r="J17" s="74">
        <f t="shared" si="2"/>
        <v>0</v>
      </c>
      <c r="K17" s="76">
        <f t="shared" si="3"/>
        <v>0</v>
      </c>
      <c r="L17" s="46">
        <f t="shared" si="4"/>
        <v>0</v>
      </c>
      <c r="N17" s="157"/>
    </row>
    <row r="18" spans="2:14" x14ac:dyDescent="0.25">
      <c r="B18" s="20" t="str">
        <f>+'County Data'!$B$39</f>
        <v>Tillamook</v>
      </c>
      <c r="C18" s="15">
        <f>VLOOKUP($B18,'County Data'!$B$10:$P$46,2,FALSE)</f>
        <v>26530</v>
      </c>
      <c r="D18" s="47">
        <v>146840</v>
      </c>
      <c r="E18" s="47">
        <f>VLOOKUP($B18,'County Data'!$B$10:$P$46,11,FALSE)</f>
        <v>119798</v>
      </c>
      <c r="F18" s="38">
        <f t="shared" si="5"/>
        <v>-0.18415962952873877</v>
      </c>
      <c r="G18" s="74">
        <f>IF(F18&lt;0,0,$C$4*Input!$C$26/36)</f>
        <v>0</v>
      </c>
      <c r="H18" s="31">
        <f t="shared" si="0"/>
        <v>0</v>
      </c>
      <c r="I18" s="38">
        <f t="shared" si="1"/>
        <v>0</v>
      </c>
      <c r="J18" s="74">
        <f t="shared" si="2"/>
        <v>0</v>
      </c>
      <c r="K18" s="76">
        <f t="shared" si="3"/>
        <v>0</v>
      </c>
      <c r="L18" s="46">
        <f t="shared" si="4"/>
        <v>0</v>
      </c>
      <c r="N18" s="157"/>
    </row>
    <row r="19" spans="2:14" x14ac:dyDescent="0.25">
      <c r="B19" s="20" t="str">
        <f>+'County Data'!$B$41</f>
        <v>Union</v>
      </c>
      <c r="C19" s="15">
        <f>VLOOKUP($B19,'County Data'!$B$10:$P$46,2,FALSE)</f>
        <v>26840</v>
      </c>
      <c r="D19" s="47">
        <v>145000</v>
      </c>
      <c r="E19" s="47">
        <f>VLOOKUP($B19,'County Data'!$B$10:$P$46,11,FALSE)</f>
        <v>153290</v>
      </c>
      <c r="F19" s="38">
        <f t="shared" si="5"/>
        <v>5.7172413793103449E-2</v>
      </c>
      <c r="G19" s="74">
        <f>IF(F19&lt;0,0,$C$4*Input!$C$26/36)</f>
        <v>0</v>
      </c>
      <c r="H19" s="31">
        <f t="shared" si="0"/>
        <v>1534.5075862068966</v>
      </c>
      <c r="I19" s="38">
        <f t="shared" si="1"/>
        <v>3.8183606568467421E-4</v>
      </c>
      <c r="J19" s="74">
        <f t="shared" si="2"/>
        <v>0</v>
      </c>
      <c r="K19" s="76">
        <f t="shared" si="3"/>
        <v>0</v>
      </c>
      <c r="L19" s="46">
        <f t="shared" si="4"/>
        <v>0</v>
      </c>
      <c r="N19" s="6"/>
    </row>
    <row r="20" spans="2:14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47">
        <v>545643</v>
      </c>
      <c r="E20" s="47">
        <f>VLOOKUP($B20,'County Data'!$B$10:$P$46,11,FALSE)</f>
        <v>772441</v>
      </c>
      <c r="F20" s="38">
        <f t="shared" si="5"/>
        <v>0.41565272531673642</v>
      </c>
      <c r="G20" s="74">
        <f>IF(F20&lt;0,0,$C$4*Input!$C$26/36*3)</f>
        <v>0</v>
      </c>
      <c r="H20" s="31">
        <f t="shared" si="0"/>
        <v>12918.486702844168</v>
      </c>
      <c r="I20" s="38">
        <f t="shared" si="1"/>
        <v>3.2145452922829128E-3</v>
      </c>
      <c r="J20" s="74">
        <f t="shared" si="2"/>
        <v>0</v>
      </c>
      <c r="K20" s="76">
        <f t="shared" si="3"/>
        <v>0</v>
      </c>
      <c r="L20" s="46">
        <f t="shared" si="4"/>
        <v>0</v>
      </c>
      <c r="N20" s="6"/>
    </row>
    <row r="21" spans="2:14" x14ac:dyDescent="0.25">
      <c r="B21" s="20" t="str">
        <f>+'County Data'!$B$32</f>
        <v>Malheur</v>
      </c>
      <c r="C21" s="15">
        <f>VLOOKUP($B21,'County Data'!$B$10:$P$46,2,FALSE)</f>
        <v>32105</v>
      </c>
      <c r="D21" s="47">
        <v>489035</v>
      </c>
      <c r="E21" s="47">
        <f>VLOOKUP($B21,'County Data'!$B$10:$P$46,11,FALSE)</f>
        <v>474185</v>
      </c>
      <c r="F21" s="38">
        <f t="shared" si="5"/>
        <v>-3.0365924729313851E-2</v>
      </c>
      <c r="G21" s="74">
        <f>IF(F21&lt;0,0,$C$4*Input!$C$26/36)</f>
        <v>0</v>
      </c>
      <c r="H21" s="31">
        <f t="shared" si="0"/>
        <v>0</v>
      </c>
      <c r="I21" s="38">
        <f t="shared" si="1"/>
        <v>0</v>
      </c>
      <c r="J21" s="74">
        <f t="shared" si="2"/>
        <v>0</v>
      </c>
      <c r="K21" s="76">
        <f t="shared" si="3"/>
        <v>0</v>
      </c>
      <c r="L21" s="46">
        <f t="shared" si="4"/>
        <v>0</v>
      </c>
      <c r="N21" s="157"/>
    </row>
    <row r="22" spans="2:14" x14ac:dyDescent="0.25">
      <c r="B22" s="20" t="str">
        <f>+'County Data'!$B$13</f>
        <v>Clatsop</v>
      </c>
      <c r="C22" s="15">
        <f>VLOOKUP($B22,'County Data'!$B$10:$P$46,2,FALSE)</f>
        <v>39455</v>
      </c>
      <c r="D22" s="47">
        <v>431075</v>
      </c>
      <c r="E22" s="47">
        <f>VLOOKUP($B22,'County Data'!$B$10:$P$46,11,FALSE)</f>
        <v>446000</v>
      </c>
      <c r="F22" s="38">
        <f t="shared" si="5"/>
        <v>3.4622745461926577E-2</v>
      </c>
      <c r="G22" s="74">
        <f>IF(F22&lt;0,0,$C$4*Input!$C$26/36)</f>
        <v>0</v>
      </c>
      <c r="H22" s="31">
        <f t="shared" si="0"/>
        <v>1366.0404222003131</v>
      </c>
      <c r="I22" s="38">
        <f t="shared" si="1"/>
        <v>3.3991588250699683E-4</v>
      </c>
      <c r="J22" s="74">
        <f t="shared" si="2"/>
        <v>0</v>
      </c>
      <c r="K22" s="76">
        <f t="shared" si="3"/>
        <v>0</v>
      </c>
      <c r="L22" s="46">
        <f t="shared" si="4"/>
        <v>0</v>
      </c>
      <c r="N22" s="6"/>
    </row>
    <row r="23" spans="2:14" x14ac:dyDescent="0.25">
      <c r="B23" s="20" t="str">
        <f>+'County Data'!$B$30</f>
        <v>Lincoln</v>
      </c>
      <c r="C23" s="15">
        <f>VLOOKUP($B23,'County Data'!$B$10:$P$46,2,FALSE)</f>
        <v>48305</v>
      </c>
      <c r="D23" s="47">
        <v>307500</v>
      </c>
      <c r="E23" s="47">
        <f>VLOOKUP($B23,'County Data'!$B$10:$P$46,11,FALSE)</f>
        <v>1458472</v>
      </c>
      <c r="F23" s="38">
        <f t="shared" si="5"/>
        <v>3.74299837398374</v>
      </c>
      <c r="G23" s="74">
        <f>IF(F23&lt;0,0,$C$4*Input!$C$26/36)</f>
        <v>0</v>
      </c>
      <c r="H23" s="31">
        <f t="shared" si="0"/>
        <v>180805.53645528457</v>
      </c>
      <c r="I23" s="38">
        <f t="shared" si="1"/>
        <v>4.4990376922636105E-2</v>
      </c>
      <c r="J23" s="74">
        <f t="shared" si="2"/>
        <v>0</v>
      </c>
      <c r="K23" s="76">
        <f t="shared" si="3"/>
        <v>0</v>
      </c>
      <c r="L23" s="46">
        <f t="shared" si="4"/>
        <v>0</v>
      </c>
      <c r="N23" s="6"/>
    </row>
    <row r="24" spans="2:14" x14ac:dyDescent="0.25">
      <c r="B24" s="20" t="str">
        <f>+'County Data'!$B$14</f>
        <v>Columbia</v>
      </c>
      <c r="C24" s="15">
        <f>VLOOKUP($B24,'County Data'!$B$10:$P$46,2,FALSE)</f>
        <v>53280</v>
      </c>
      <c r="D24" s="47">
        <v>144489</v>
      </c>
      <c r="E24" s="47">
        <f>VLOOKUP($B24,'County Data'!$B$10:$P$46,11,FALSE)</f>
        <v>615328</v>
      </c>
      <c r="F24" s="38">
        <f t="shared" si="5"/>
        <v>3.258649447362775</v>
      </c>
      <c r="G24" s="74">
        <f>IF(F24&lt;0,0,$C$4*Input!$C$26/36)</f>
        <v>0</v>
      </c>
      <c r="H24" s="31">
        <f t="shared" si="0"/>
        <v>173620.84255548866</v>
      </c>
      <c r="I24" s="38">
        <f t="shared" si="1"/>
        <v>4.3202588268799587E-2</v>
      </c>
      <c r="J24" s="74">
        <f t="shared" si="2"/>
        <v>0</v>
      </c>
      <c r="K24" s="76">
        <f t="shared" si="3"/>
        <v>0</v>
      </c>
      <c r="L24" s="46">
        <f t="shared" si="4"/>
        <v>0</v>
      </c>
      <c r="N24" s="6"/>
    </row>
    <row r="25" spans="2:14" x14ac:dyDescent="0.25">
      <c r="B25" s="20" t="str">
        <f>+'County Data'!$B$15</f>
        <v>Coos</v>
      </c>
      <c r="C25" s="15">
        <f>VLOOKUP($B25,'County Data'!$B$10:$P$46,2,FALSE)</f>
        <v>63315</v>
      </c>
      <c r="D25" s="47">
        <v>52178</v>
      </c>
      <c r="E25" s="47">
        <f>VLOOKUP($B25,'County Data'!$B$10:$P$46,11,FALSE)</f>
        <v>332653</v>
      </c>
      <c r="F25" s="38">
        <f t="shared" si="5"/>
        <v>5.3753497642684653</v>
      </c>
      <c r="G25" s="74">
        <f>IF(F25&lt;0,0,$C$4*Input!$C$26/36)</f>
        <v>0</v>
      </c>
      <c r="H25" s="31">
        <f t="shared" si="0"/>
        <v>340340.2703246579</v>
      </c>
      <c r="I25" s="38">
        <f t="shared" si="1"/>
        <v>8.4687877064235126E-2</v>
      </c>
      <c r="J25" s="74">
        <f t="shared" si="2"/>
        <v>0</v>
      </c>
      <c r="K25" s="76">
        <f t="shared" si="3"/>
        <v>0</v>
      </c>
      <c r="L25" s="46">
        <f t="shared" si="4"/>
        <v>0</v>
      </c>
      <c r="N25" s="6"/>
    </row>
    <row r="26" spans="2:14" x14ac:dyDescent="0.25">
      <c r="B26" s="20" t="str">
        <f>+'County Data'!$B$27</f>
        <v>Klamath</v>
      </c>
      <c r="C26" s="15">
        <f>VLOOKUP($B26,'County Data'!$B$10:$P$46,2,FALSE)</f>
        <v>68075</v>
      </c>
      <c r="D26" s="47">
        <v>232280</v>
      </c>
      <c r="E26" s="47">
        <f>VLOOKUP($B26,'County Data'!$B$10:$P$46,11,FALSE)</f>
        <v>542426</v>
      </c>
      <c r="F26" s="38">
        <f t="shared" si="5"/>
        <v>1.3352247287756156</v>
      </c>
      <c r="G26" s="74">
        <f>IF(F26&lt;0,0,$C$4*Input!$C$26/36)</f>
        <v>0</v>
      </c>
      <c r="H26" s="31">
        <f t="shared" si="0"/>
        <v>90895.423411400028</v>
      </c>
      <c r="I26" s="38">
        <f t="shared" si="1"/>
        <v>2.2617777309229981E-2</v>
      </c>
      <c r="J26" s="74">
        <f t="shared" si="2"/>
        <v>0</v>
      </c>
      <c r="K26" s="76">
        <f t="shared" si="3"/>
        <v>0</v>
      </c>
      <c r="L26" s="46">
        <f t="shared" si="4"/>
        <v>0</v>
      </c>
      <c r="N26" s="6"/>
    </row>
    <row r="27" spans="2:14" x14ac:dyDescent="0.25">
      <c r="B27" s="20" t="str">
        <f>+'County Data'!$B$40</f>
        <v>Umatilla</v>
      </c>
      <c r="C27" s="15">
        <f>VLOOKUP($B27,'County Data'!$B$10:$P$46,2,FALSE)</f>
        <v>81495</v>
      </c>
      <c r="D27" s="47">
        <v>386278</v>
      </c>
      <c r="E27" s="47">
        <f>VLOOKUP($B27,'County Data'!$B$10:$P$46,11,FALSE)</f>
        <v>532317</v>
      </c>
      <c r="F27" s="38">
        <f t="shared" si="5"/>
        <v>0.37806709157653295</v>
      </c>
      <c r="G27" s="74">
        <f>IF(F27&lt;0,0,$C$4*Input!$C$26/36)</f>
        <v>0</v>
      </c>
      <c r="H27" s="31">
        <f t="shared" si="0"/>
        <v>30810.577628029554</v>
      </c>
      <c r="I27" s="38">
        <f t="shared" si="1"/>
        <v>7.6666872478875023E-3</v>
      </c>
      <c r="J27" s="74">
        <f t="shared" si="2"/>
        <v>0</v>
      </c>
      <c r="K27" s="76">
        <f t="shared" si="3"/>
        <v>0</v>
      </c>
      <c r="L27" s="46">
        <f t="shared" si="4"/>
        <v>0</v>
      </c>
      <c r="N27" s="6"/>
    </row>
    <row r="28" spans="2:14" x14ac:dyDescent="0.25">
      <c r="B28" s="20" t="str">
        <f>+'County Data'!$B$37</f>
        <v>Polk</v>
      </c>
      <c r="C28" s="15">
        <f>VLOOKUP($B28,'County Data'!$B$10:$P$46,2,FALSE)</f>
        <v>83805</v>
      </c>
      <c r="D28" s="47">
        <v>251759</v>
      </c>
      <c r="E28" s="47">
        <f>VLOOKUP($B28,'County Data'!$B$10:$P$46,11,FALSE)</f>
        <v>291010</v>
      </c>
      <c r="F28" s="38">
        <f t="shared" si="5"/>
        <v>0.15590703808006864</v>
      </c>
      <c r="G28" s="74">
        <f>IF(F28&lt;0,0,$C$4*Input!$C$26/36)</f>
        <v>0</v>
      </c>
      <c r="H28" s="31">
        <f t="shared" si="0"/>
        <v>13065.789326300153</v>
      </c>
      <c r="I28" s="38">
        <f t="shared" si="1"/>
        <v>3.2511990401763958E-3</v>
      </c>
      <c r="J28" s="74">
        <f t="shared" si="2"/>
        <v>0</v>
      </c>
      <c r="K28" s="76">
        <f t="shared" si="3"/>
        <v>0</v>
      </c>
      <c r="L28" s="46">
        <f t="shared" si="4"/>
        <v>0</v>
      </c>
      <c r="N28" s="6"/>
    </row>
    <row r="29" spans="2:14" x14ac:dyDescent="0.25">
      <c r="B29" s="20" t="str">
        <f>+'County Data'!$B$26</f>
        <v>Josephine</v>
      </c>
      <c r="C29" s="15">
        <f>VLOOKUP($B29,'County Data'!$B$10:$P$46,2,FALSE)</f>
        <v>86560</v>
      </c>
      <c r="D29" s="47">
        <v>364715</v>
      </c>
      <c r="E29" s="47">
        <f>VLOOKUP($B29,'County Data'!$B$10:$P$46,11,FALSE)</f>
        <v>657998</v>
      </c>
      <c r="F29" s="38">
        <f t="shared" si="5"/>
        <v>0.80414296094210547</v>
      </c>
      <c r="G29" s="74">
        <f>IF(F29&lt;0,0,$C$4*Input!$C$26/36)</f>
        <v>0</v>
      </c>
      <c r="H29" s="31">
        <f t="shared" si="0"/>
        <v>69606.614699148646</v>
      </c>
      <c r="I29" s="38">
        <f t="shared" si="1"/>
        <v>1.732042001046738E-2</v>
      </c>
      <c r="J29" s="74">
        <f t="shared" si="2"/>
        <v>0</v>
      </c>
      <c r="K29" s="76">
        <f t="shared" si="3"/>
        <v>0</v>
      </c>
      <c r="L29" s="46">
        <f t="shared" si="4"/>
        <v>0</v>
      </c>
      <c r="N29" s="6"/>
    </row>
    <row r="30" spans="2:14" x14ac:dyDescent="0.25">
      <c r="B30" s="20" t="str">
        <f>+'County Data'!$B$11</f>
        <v>Benton</v>
      </c>
      <c r="C30" s="15">
        <f>VLOOKUP($B30,'County Data'!$B$10:$P$46,2,FALSE)</f>
        <v>94665</v>
      </c>
      <c r="D30" s="47">
        <v>2090815</v>
      </c>
      <c r="E30" s="47">
        <f>VLOOKUP($B30,'County Data'!$B$10:$P$46,11,FALSE)</f>
        <v>1791995</v>
      </c>
      <c r="F30" s="38">
        <f t="shared" si="5"/>
        <v>-0.14292034445897892</v>
      </c>
      <c r="G30" s="74">
        <f>IF(F30&lt;0,0,$C$4*Input!$C$26/36)</f>
        <v>0</v>
      </c>
      <c r="H30" s="31">
        <f t="shared" si="0"/>
        <v>0</v>
      </c>
      <c r="I30" s="38">
        <f t="shared" si="1"/>
        <v>0</v>
      </c>
      <c r="J30" s="74">
        <f t="shared" si="2"/>
        <v>0</v>
      </c>
      <c r="K30" s="76">
        <f t="shared" si="3"/>
        <v>0</v>
      </c>
      <c r="L30" s="46">
        <f t="shared" si="4"/>
        <v>0</v>
      </c>
      <c r="N30" s="157"/>
    </row>
    <row r="31" spans="2:14" x14ac:dyDescent="0.25">
      <c r="B31" s="20" t="str">
        <f>+'County Data'!$B$46</f>
        <v>Yamhill</v>
      </c>
      <c r="C31" s="15">
        <f>VLOOKUP($B31,'County Data'!$B$10:$P$46,2,FALSE)</f>
        <v>108605</v>
      </c>
      <c r="D31" s="47">
        <v>650791</v>
      </c>
      <c r="E31" s="47">
        <f>VLOOKUP($B31,'County Data'!$B$10:$P$46,11,FALSE)</f>
        <v>1553242</v>
      </c>
      <c r="F31" s="38">
        <f t="shared" si="5"/>
        <v>1.3866986482603478</v>
      </c>
      <c r="G31" s="74">
        <f>IF(F31&lt;0,0,$C$4*Input!$C$26/36)</f>
        <v>0</v>
      </c>
      <c r="H31" s="31">
        <f t="shared" si="0"/>
        <v>150602.40669431508</v>
      </c>
      <c r="I31" s="38">
        <f t="shared" si="1"/>
        <v>3.7474842725897801E-2</v>
      </c>
      <c r="J31" s="74">
        <f t="shared" si="2"/>
        <v>0</v>
      </c>
      <c r="K31" s="76">
        <f t="shared" si="3"/>
        <v>0</v>
      </c>
      <c r="L31" s="46">
        <f t="shared" si="4"/>
        <v>0</v>
      </c>
      <c r="N31" s="6"/>
    </row>
    <row r="32" spans="2:14" x14ac:dyDescent="0.25">
      <c r="B32" s="20" t="str">
        <f>+'County Data'!$B$19</f>
        <v>Douglas</v>
      </c>
      <c r="C32" s="15">
        <f>VLOOKUP($B32,'County Data'!$B$10:$P$46,2,FALSE)</f>
        <v>112530</v>
      </c>
      <c r="D32" s="47">
        <v>671902</v>
      </c>
      <c r="E32" s="47">
        <f>VLOOKUP($B32,'County Data'!$B$10:$P$46,11,FALSE)</f>
        <v>444652</v>
      </c>
      <c r="F32" s="38">
        <f t="shared" si="5"/>
        <v>-0.33821896645641775</v>
      </c>
      <c r="G32" s="74">
        <f>IF(F32&lt;0,0,$C$4*Input!$C$26/36)</f>
        <v>0</v>
      </c>
      <c r="H32" s="31">
        <f t="shared" si="0"/>
        <v>0</v>
      </c>
      <c r="I32" s="38">
        <f t="shared" si="1"/>
        <v>0</v>
      </c>
      <c r="J32" s="74">
        <f t="shared" si="2"/>
        <v>0</v>
      </c>
      <c r="K32" s="76">
        <f t="shared" si="3"/>
        <v>0</v>
      </c>
      <c r="L32" s="46">
        <f t="shared" si="4"/>
        <v>0</v>
      </c>
      <c r="N32" s="157"/>
    </row>
    <row r="33" spans="2:14" x14ac:dyDescent="0.25">
      <c r="B33" s="20" t="str">
        <f>+'County Data'!$B$31</f>
        <v>Linn</v>
      </c>
      <c r="C33" s="15">
        <f>VLOOKUP($B33,'County Data'!$B$10:$P$46,2,FALSE)</f>
        <v>127320</v>
      </c>
      <c r="D33" s="47">
        <v>651346</v>
      </c>
      <c r="E33" s="47">
        <f>VLOOKUP($B33,'County Data'!$B$10:$P$46,11,FALSE)</f>
        <v>1327242</v>
      </c>
      <c r="F33" s="38">
        <f t="shared" si="5"/>
        <v>1.0376911810312799</v>
      </c>
      <c r="G33" s="74">
        <f>IF(F33&lt;0,0,$C$4*Input!$C$26/36)</f>
        <v>0</v>
      </c>
      <c r="H33" s="31">
        <f t="shared" si="0"/>
        <v>132118.84116890255</v>
      </c>
      <c r="I33" s="38">
        <f t="shared" si="1"/>
        <v>3.2875522394419938E-2</v>
      </c>
      <c r="J33" s="74">
        <f t="shared" si="2"/>
        <v>0</v>
      </c>
      <c r="K33" s="76">
        <f t="shared" si="3"/>
        <v>0</v>
      </c>
      <c r="L33" s="46">
        <f t="shared" si="4"/>
        <v>0</v>
      </c>
      <c r="N33" s="6"/>
    </row>
    <row r="34" spans="2:14" x14ac:dyDescent="0.25">
      <c r="B34" s="20" t="str">
        <f>+'County Data'!$B$18</f>
        <v>Deschutes</v>
      </c>
      <c r="C34" s="15">
        <f>VLOOKUP($B34,'County Data'!$B$10:$P$46,2,FALSE)</f>
        <v>197015</v>
      </c>
      <c r="D34" s="47">
        <v>2968217</v>
      </c>
      <c r="E34" s="47">
        <f>VLOOKUP($B34,'County Data'!$B$10:$P$46,11,FALSE)</f>
        <v>3814900</v>
      </c>
      <c r="F34" s="38">
        <f t="shared" si="5"/>
        <v>0.28524969704034442</v>
      </c>
      <c r="G34" s="74">
        <f>IF(F34&lt;0,0,$C$4*Input!$C$26/36)</f>
        <v>0</v>
      </c>
      <c r="H34" s="31">
        <f t="shared" si="0"/>
        <v>56198.469062403456</v>
      </c>
      <c r="I34" s="38">
        <f t="shared" si="1"/>
        <v>1.3984031435994979E-2</v>
      </c>
      <c r="J34" s="74">
        <f t="shared" si="2"/>
        <v>0</v>
      </c>
      <c r="K34" s="76">
        <f t="shared" si="3"/>
        <v>0</v>
      </c>
      <c r="L34" s="46">
        <f t="shared" si="4"/>
        <v>0</v>
      </c>
      <c r="N34" s="6"/>
    </row>
    <row r="35" spans="2:14" x14ac:dyDescent="0.25">
      <c r="B35" s="20" t="str">
        <f>+'County Data'!$B$24</f>
        <v>Jackson</v>
      </c>
      <c r="C35" s="15">
        <f>VLOOKUP($B35,'County Data'!$B$10:$P$46,2,FALSE)</f>
        <v>223240</v>
      </c>
      <c r="D35" s="47">
        <v>670465</v>
      </c>
      <c r="E35" s="47">
        <f>VLOOKUP($B35,'County Data'!$B$10:$P$46,11,FALSE)</f>
        <v>2298330</v>
      </c>
      <c r="F35" s="38">
        <f t="shared" si="5"/>
        <v>2.4279641741179629</v>
      </c>
      <c r="G35" s="74">
        <f>IF(F35&lt;0,0,$C$4*Input!$C$26/36)</f>
        <v>0</v>
      </c>
      <c r="H35" s="31">
        <f t="shared" si="0"/>
        <v>542018.72223009402</v>
      </c>
      <c r="I35" s="38">
        <f t="shared" si="1"/>
        <v>0.13487212333394666</v>
      </c>
      <c r="J35" s="74">
        <f t="shared" si="2"/>
        <v>0</v>
      </c>
      <c r="K35" s="76">
        <f t="shared" si="3"/>
        <v>0</v>
      </c>
      <c r="L35" s="46">
        <f t="shared" si="4"/>
        <v>0</v>
      </c>
      <c r="N35" s="6"/>
    </row>
    <row r="36" spans="2:14" x14ac:dyDescent="0.25">
      <c r="B36" s="20" t="str">
        <f>+'County Data'!$B$33</f>
        <v>Marion</v>
      </c>
      <c r="C36" s="15">
        <f>VLOOKUP($B36,'County Data'!$B$10:$P$46,2,FALSE)</f>
        <v>349120</v>
      </c>
      <c r="D36" s="47">
        <v>2152253</v>
      </c>
      <c r="E36" s="47">
        <f>VLOOKUP($B36,'County Data'!$B$10:$P$46,11,FALSE)</f>
        <v>4647307</v>
      </c>
      <c r="F36" s="38">
        <f t="shared" si="5"/>
        <v>1.1592754197578072</v>
      </c>
      <c r="G36" s="74">
        <f>IF(F36&lt;0,0,$C$4*Input!$C$26/36)</f>
        <v>0</v>
      </c>
      <c r="H36" s="31">
        <f t="shared" si="0"/>
        <v>404726.23454584565</v>
      </c>
      <c r="I36" s="38">
        <f t="shared" si="1"/>
        <v>0.10070922716019859</v>
      </c>
      <c r="J36" s="74">
        <f t="shared" si="2"/>
        <v>0</v>
      </c>
      <c r="K36" s="76">
        <f t="shared" si="3"/>
        <v>0</v>
      </c>
      <c r="L36" s="46">
        <f t="shared" si="4"/>
        <v>0</v>
      </c>
      <c r="N36" s="6"/>
    </row>
    <row r="37" spans="2:14" x14ac:dyDescent="0.25">
      <c r="B37" s="20" t="str">
        <f>+'County Data'!$B$29</f>
        <v>Lane</v>
      </c>
      <c r="C37" s="15">
        <f>VLOOKUP($B37,'County Data'!$B$10:$P$46,2,FALSE)</f>
        <v>381365</v>
      </c>
      <c r="D37" s="47">
        <v>1716536</v>
      </c>
      <c r="E37" s="47">
        <f>VLOOKUP($B37,'County Data'!$B$10:$P$46,11,FALSE)</f>
        <v>4024080</v>
      </c>
      <c r="F37" s="38">
        <f t="shared" si="5"/>
        <v>1.3443027119734163</v>
      </c>
      <c r="G37" s="74">
        <f>IF(F37&lt;0,0,$C$4*Input!$C$26/36)</f>
        <v>0</v>
      </c>
      <c r="H37" s="31">
        <f t="shared" si="0"/>
        <v>512670.0037517419</v>
      </c>
      <c r="I37" s="38">
        <f t="shared" si="1"/>
        <v>0.12756919482620183</v>
      </c>
      <c r="J37" s="74">
        <f t="shared" si="2"/>
        <v>0</v>
      </c>
      <c r="K37" s="76">
        <f t="shared" si="3"/>
        <v>0</v>
      </c>
      <c r="L37" s="46">
        <f t="shared" si="4"/>
        <v>0</v>
      </c>
      <c r="N37" s="6"/>
    </row>
    <row r="38" spans="2:14" x14ac:dyDescent="0.25">
      <c r="B38" s="20" t="str">
        <f>+'County Data'!$B$12</f>
        <v>Clackamas</v>
      </c>
      <c r="C38" s="15">
        <f>VLOOKUP($B38,'County Data'!$B$10:$P$46,2,FALSE)</f>
        <v>426515</v>
      </c>
      <c r="D38" s="47">
        <v>1965745</v>
      </c>
      <c r="E38" s="47">
        <f>VLOOKUP($B38,'County Data'!$B$10:$P$46,11,FALSE)</f>
        <v>5019520</v>
      </c>
      <c r="F38" s="38">
        <f t="shared" si="5"/>
        <v>1.5534949853617839</v>
      </c>
      <c r="G38" s="74">
        <f>IF(F38&lt;0,0,$C$4*Input!$C$26/36)</f>
        <v>0</v>
      </c>
      <c r="H38" s="31">
        <f t="shared" si="0"/>
        <v>662588.91368158127</v>
      </c>
      <c r="I38" s="38">
        <f t="shared" si="1"/>
        <v>0.16487396102865881</v>
      </c>
      <c r="J38" s="74">
        <f t="shared" si="2"/>
        <v>0</v>
      </c>
      <c r="K38" s="76">
        <f t="shared" si="3"/>
        <v>0</v>
      </c>
      <c r="L38" s="46">
        <f t="shared" si="4"/>
        <v>0</v>
      </c>
      <c r="N38" s="6"/>
    </row>
    <row r="39" spans="2:14" x14ac:dyDescent="0.25">
      <c r="B39" s="20" t="str">
        <f>+'County Data'!$B$44</f>
        <v>Washington</v>
      </c>
      <c r="C39" s="15">
        <f>VLOOKUP($B39,'County Data'!$B$10:$P$46,2,FALSE)</f>
        <v>620080</v>
      </c>
      <c r="D39" s="47">
        <v>4800731</v>
      </c>
      <c r="E39" s="47">
        <f>VLOOKUP($B39,'County Data'!$B$10:$P$46,11,FALSE)</f>
        <v>8674852</v>
      </c>
      <c r="F39" s="38">
        <f t="shared" si="5"/>
        <v>0.806985644477893</v>
      </c>
      <c r="G39" s="74">
        <f>IF(F39&lt;0,0,$C$4*Input!$C$26/36)</f>
        <v>0</v>
      </c>
      <c r="H39" s="31">
        <f t="shared" si="0"/>
        <v>500395.65842785191</v>
      </c>
      <c r="I39" s="38">
        <f t="shared" si="1"/>
        <v>0.12451493314026624</v>
      </c>
      <c r="J39" s="74">
        <f t="shared" si="2"/>
        <v>0</v>
      </c>
      <c r="K39" s="76">
        <f t="shared" si="3"/>
        <v>0</v>
      </c>
      <c r="L39" s="46">
        <f t="shared" si="4"/>
        <v>0</v>
      </c>
      <c r="N39" s="6"/>
    </row>
    <row r="40" spans="2:14" x14ac:dyDescent="0.25">
      <c r="B40" s="20" t="str">
        <f>+'County Data'!$B$35</f>
        <v>Multnomah</v>
      </c>
      <c r="C40" s="15">
        <f>VLOOKUP($B40,'County Data'!$B$10:$P$46,2,FALSE)</f>
        <v>829560</v>
      </c>
      <c r="D40" s="47">
        <v>43542723</v>
      </c>
      <c r="E40" s="47">
        <f>VLOOKUP($B40,'County Data'!$B$10:$P$46,11,FALSE)</f>
        <v>25329190</v>
      </c>
      <c r="F40" s="38">
        <f t="shared" si="5"/>
        <v>-0.41829108850174573</v>
      </c>
      <c r="G40" s="74">
        <f>IF(F40&lt;0,0,$C$4*Input!$C$26/36)</f>
        <v>0</v>
      </c>
      <c r="H40" s="31">
        <f t="shared" si="0"/>
        <v>0</v>
      </c>
      <c r="I40" s="38">
        <f t="shared" si="1"/>
        <v>0</v>
      </c>
      <c r="J40" s="74">
        <f t="shared" si="2"/>
        <v>0</v>
      </c>
      <c r="K40" s="76">
        <f t="shared" si="3"/>
        <v>0</v>
      </c>
      <c r="L40" s="46">
        <f t="shared" si="4"/>
        <v>0</v>
      </c>
      <c r="N40" s="157"/>
    </row>
    <row r="41" spans="2:14" x14ac:dyDescent="0.25">
      <c r="B41" s="4" t="s">
        <v>2</v>
      </c>
      <c r="C41" s="5">
        <f>SUM(C7:C40)</f>
        <v>4268055</v>
      </c>
      <c r="D41" s="73">
        <f>SUM(D7:D40)</f>
        <v>68747850</v>
      </c>
      <c r="E41" s="73">
        <f>SUM(E7:E40)</f>
        <v>70042552</v>
      </c>
      <c r="F41" s="21">
        <f t="shared" si="5"/>
        <v>1.8832618038236833E-2</v>
      </c>
      <c r="G41" s="73">
        <f>SUM(G7:G40)</f>
        <v>0</v>
      </c>
      <c r="H41" s="5">
        <f>SUM(H7:H40)</f>
        <v>4018760.2065702076</v>
      </c>
      <c r="I41" s="21">
        <f>SUM(I7:I40)</f>
        <v>1.0000000000000002</v>
      </c>
      <c r="J41" s="73">
        <f>SUM(J7:J40)</f>
        <v>0</v>
      </c>
      <c r="K41" s="73">
        <f t="shared" ref="K41" si="6">SUM(K7:K40)</f>
        <v>0</v>
      </c>
      <c r="L41" s="72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 x14ac:dyDescent="0.25">
      <c r="B2" t="s">
        <v>0</v>
      </c>
      <c r="C2" s="1">
        <f>'County Data'!C5</f>
        <v>8000000</v>
      </c>
    </row>
    <row r="3" spans="2:25" x14ac:dyDescent="0.25">
      <c r="B3" t="s">
        <v>41</v>
      </c>
      <c r="C3" s="14">
        <f>$C$2*Input!$C$28</f>
        <v>0</v>
      </c>
    </row>
    <row r="4" spans="2:25" x14ac:dyDescent="0.25">
      <c r="D4" s="22"/>
      <c r="E4" s="71">
        <f>Input!$D$31</f>
        <v>1</v>
      </c>
      <c r="J4" s="71">
        <f>Input!$D$32</f>
        <v>0</v>
      </c>
      <c r="O4" s="71">
        <f>Input!$D$33</f>
        <v>0</v>
      </c>
      <c r="T4" s="71">
        <f>Input!$D$34</f>
        <v>0</v>
      </c>
    </row>
    <row r="5" spans="2:25" x14ac:dyDescent="0.25">
      <c r="D5" s="215" t="s">
        <v>95</v>
      </c>
      <c r="E5" s="215"/>
      <c r="F5" s="215"/>
      <c r="G5" s="215"/>
      <c r="H5" s="215"/>
      <c r="I5" s="216" t="s">
        <v>99</v>
      </c>
      <c r="J5" s="216"/>
      <c r="K5" s="216"/>
      <c r="L5" s="216"/>
      <c r="M5" s="216"/>
      <c r="N5" s="215" t="s">
        <v>100</v>
      </c>
      <c r="O5" s="215"/>
      <c r="P5" s="215"/>
      <c r="Q5" s="215"/>
      <c r="R5" s="215"/>
      <c r="S5" s="216" t="s">
        <v>101</v>
      </c>
      <c r="T5" s="216"/>
      <c r="U5" s="216"/>
      <c r="V5" s="216"/>
      <c r="W5" s="216"/>
    </row>
    <row r="6" spans="2:25" s="2" customFormat="1" ht="30" x14ac:dyDescent="0.25">
      <c r="B6" s="3" t="s">
        <v>7</v>
      </c>
      <c r="C6" s="3" t="s">
        <v>1</v>
      </c>
      <c r="D6" s="3" t="s">
        <v>96</v>
      </c>
      <c r="E6" s="3" t="s">
        <v>97</v>
      </c>
      <c r="F6" s="3" t="s">
        <v>106</v>
      </c>
      <c r="G6" s="3" t="s">
        <v>107</v>
      </c>
      <c r="H6" s="3" t="s">
        <v>98</v>
      </c>
      <c r="I6" s="3" t="s">
        <v>96</v>
      </c>
      <c r="J6" s="3" t="s">
        <v>97</v>
      </c>
      <c r="K6" s="3" t="s">
        <v>106</v>
      </c>
      <c r="L6" s="3" t="s">
        <v>107</v>
      </c>
      <c r="M6" s="3" t="s">
        <v>98</v>
      </c>
      <c r="N6" s="3" t="s">
        <v>96</v>
      </c>
      <c r="O6" s="3" t="s">
        <v>97</v>
      </c>
      <c r="P6" s="3" t="s">
        <v>106</v>
      </c>
      <c r="Q6" s="3" t="s">
        <v>107</v>
      </c>
      <c r="R6" s="3" t="s">
        <v>98</v>
      </c>
      <c r="S6" s="3" t="s">
        <v>96</v>
      </c>
      <c r="T6" s="3" t="s">
        <v>97</v>
      </c>
      <c r="U6" s="3" t="s">
        <v>106</v>
      </c>
      <c r="V6" s="3" t="s">
        <v>107</v>
      </c>
      <c r="W6" s="3" t="s">
        <v>98</v>
      </c>
      <c r="X6" s="13" t="s">
        <v>108</v>
      </c>
      <c r="Y6" s="3" t="s">
        <v>109</v>
      </c>
    </row>
    <row r="7" spans="2:25" x14ac:dyDescent="0.25">
      <c r="B7" s="20" t="str">
        <f>'County Data'!$B$45</f>
        <v>Wheeler</v>
      </c>
      <c r="C7" s="15">
        <f>VLOOKUP($B7,'County Data'!$B$10:$P$46,2,FALSE)</f>
        <v>1440</v>
      </c>
      <c r="D7" s="26" t="str">
        <f>VLOOKUP($B7,'County Data'!$B$9:$P$46,12,FALSE)</f>
        <v>Y</v>
      </c>
      <c r="E7" s="74">
        <f>IF(D7="Y",$C$3*Input!$C$29/36*E$4,0)</f>
        <v>0</v>
      </c>
      <c r="F7" s="15">
        <f>IF(D7="Y",$C7,0)</f>
        <v>1440</v>
      </c>
      <c r="G7" s="74">
        <f>ROUND(($C$3*E$4-E$41)*(F7/F$41),2)</f>
        <v>0</v>
      </c>
      <c r="H7" s="75">
        <f>E7+G7</f>
        <v>0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4">
        <f>ROUND(($C$3*J$4-J$41)*(K7/K$41),2)</f>
        <v>0</v>
      </c>
      <c r="M7" s="75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4">
        <f>ROUND(($C$3*O$4-O$41)*(P7/P$41),2)</f>
        <v>0</v>
      </c>
      <c r="R7" s="75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4">
        <f>ROUND(($C$3*T$4-T$41)*(U7/U$41),2)</f>
        <v>0</v>
      </c>
      <c r="W7" s="75">
        <f>T7+V7</f>
        <v>0</v>
      </c>
      <c r="X7" s="76">
        <f>H7+M7+R7+W7</f>
        <v>0</v>
      </c>
      <c r="Y7" s="46">
        <f>X7/C7</f>
        <v>0</v>
      </c>
    </row>
    <row r="8" spans="2:25" x14ac:dyDescent="0.25">
      <c r="B8" s="20" t="str">
        <f>+'County Data'!$B$42</f>
        <v>Wallowa</v>
      </c>
      <c r="C8" s="15">
        <f>VLOOKUP($B8,'County Data'!$B$10:$P$46,2,FALSE)</f>
        <v>7160</v>
      </c>
      <c r="D8" s="26" t="str">
        <f>VLOOKUP($B8,'County Data'!$B$9:$P$46,12,FALSE)</f>
        <v>Y</v>
      </c>
      <c r="E8" s="74">
        <f>IF(D8="Y",$C$3*Input!$C$29/36*E$4,0)</f>
        <v>0</v>
      </c>
      <c r="F8" s="15">
        <f t="shared" ref="F8:F40" si="0">IF(D8="Y",$C8,0)</f>
        <v>7160</v>
      </c>
      <c r="G8" s="74">
        <f t="shared" ref="G8:G40" si="1">ROUND(($C$3*E$4-E$41)*(F8/F$41),2)</f>
        <v>0</v>
      </c>
      <c r="H8" s="75">
        <f t="shared" ref="H8:H40" si="2">E8+G8</f>
        <v>0</v>
      </c>
      <c r="I8" s="26">
        <f>VLOOKUP($B8,'County Data'!$B$9:$P$46,13,FALSE)</f>
        <v>0</v>
      </c>
      <c r="J8" s="47">
        <f>IF(I8="Y",$C$3*Input!$C$29/36*J$4,0)</f>
        <v>0</v>
      </c>
      <c r="K8" s="15">
        <f t="shared" ref="K8:K40" si="3">IF(I8="Y",$C8,0)</f>
        <v>0</v>
      </c>
      <c r="L8" s="74">
        <f t="shared" ref="L8:L40" si="4">ROUND(($C$3*J$4-J$41)*(K8/K$41),2)</f>
        <v>0</v>
      </c>
      <c r="M8" s="75">
        <f t="shared" ref="M8:M40" si="5">J8+L8</f>
        <v>0</v>
      </c>
      <c r="N8" s="26">
        <f>VLOOKUP($B8,'County Data'!$B$9:$P$46,14,FALSE)</f>
        <v>0</v>
      </c>
      <c r="O8" s="47">
        <f>IF(N8="Y",$C$3*Input!$C$29/36*O$4,0)</f>
        <v>0</v>
      </c>
      <c r="P8" s="15">
        <f t="shared" ref="P8:P40" si="6">IF(N8="Y",$C8,0)</f>
        <v>0</v>
      </c>
      <c r="Q8" s="74">
        <f t="shared" ref="Q8:Q40" si="7">ROUND(($C$3*O$4-O$41)*(P8/P$41),2)</f>
        <v>0</v>
      </c>
      <c r="R8" s="75">
        <f t="shared" ref="R8:R40" si="8">O8+Q8</f>
        <v>0</v>
      </c>
      <c r="S8" s="26">
        <f>VLOOKUP($B8,'County Data'!$B$9:$P$46,15,FALSE)</f>
        <v>0</v>
      </c>
      <c r="T8" s="47">
        <f>IF(S8="Y",$C$3*Input!$C$29/36*T$4,0)</f>
        <v>0</v>
      </c>
      <c r="U8" s="15">
        <f t="shared" ref="U8:U40" si="9">IF(S8="Y",$C8,0)</f>
        <v>0</v>
      </c>
      <c r="V8" s="74">
        <f t="shared" ref="V8:V40" si="10">ROUND(($C$3*T$4-T$41)*(U8/U$41),2)</f>
        <v>0</v>
      </c>
      <c r="W8" s="75">
        <f t="shared" ref="W8:W40" si="11">T8+V8</f>
        <v>0</v>
      </c>
      <c r="X8" s="76">
        <f t="shared" ref="X8:X40" si="12">H8+M8+R8+W8</f>
        <v>0</v>
      </c>
      <c r="Y8" s="46">
        <f t="shared" ref="Y8:Y41" si="13">X8/C8</f>
        <v>0</v>
      </c>
    </row>
    <row r="9" spans="2:25" x14ac:dyDescent="0.25">
      <c r="B9" s="20" t="str">
        <f>+'County Data'!$B$22</f>
        <v>Harney</v>
      </c>
      <c r="C9" s="15">
        <f>VLOOKUP($B9,'County Data'!$B$10:$P$46,2,FALSE)</f>
        <v>7280</v>
      </c>
      <c r="D9" s="26" t="str">
        <f>VLOOKUP($B9,'County Data'!$B$9:$P$46,12,FALSE)</f>
        <v>Y</v>
      </c>
      <c r="E9" s="74">
        <f>IF(D9="Y",$C$3*Input!$C$29/36*E$4,0)</f>
        <v>0</v>
      </c>
      <c r="F9" s="15">
        <f t="shared" si="0"/>
        <v>7280</v>
      </c>
      <c r="G9" s="74">
        <f t="shared" si="1"/>
        <v>0</v>
      </c>
      <c r="H9" s="75">
        <f t="shared" si="2"/>
        <v>0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si="3"/>
        <v>0</v>
      </c>
      <c r="L9" s="74">
        <f t="shared" si="4"/>
        <v>0</v>
      </c>
      <c r="M9" s="75">
        <f t="shared" si="5"/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si="6"/>
        <v>0</v>
      </c>
      <c r="Q9" s="74">
        <f t="shared" si="7"/>
        <v>0</v>
      </c>
      <c r="R9" s="75">
        <f t="shared" si="8"/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si="9"/>
        <v>0</v>
      </c>
      <c r="V9" s="74">
        <f t="shared" si="10"/>
        <v>0</v>
      </c>
      <c r="W9" s="75">
        <f t="shared" si="11"/>
        <v>0</v>
      </c>
      <c r="X9" s="76">
        <f t="shared" si="12"/>
        <v>0</v>
      </c>
      <c r="Y9" s="46">
        <f t="shared" si="13"/>
        <v>0</v>
      </c>
    </row>
    <row r="10" spans="2:25" x14ac:dyDescent="0.25">
      <c r="B10" s="20" t="str">
        <f>+'County Data'!$B$21</f>
        <v>Grant</v>
      </c>
      <c r="C10" s="15">
        <f>VLOOKUP($B10,'County Data'!$B$10:$P$46,2,FALSE)</f>
        <v>7315</v>
      </c>
      <c r="D10" s="26" t="str">
        <f>VLOOKUP($B10,'County Data'!$B$9:$P$46,12,FALSE)</f>
        <v>Y</v>
      </c>
      <c r="E10" s="74">
        <f>IF(D10="Y",$C$3*Input!$C$29/36*E$4,0)</f>
        <v>0</v>
      </c>
      <c r="F10" s="15">
        <f t="shared" si="0"/>
        <v>7315</v>
      </c>
      <c r="G10" s="74">
        <f t="shared" si="1"/>
        <v>0</v>
      </c>
      <c r="H10" s="75">
        <f t="shared" si="2"/>
        <v>0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3"/>
        <v>0</v>
      </c>
      <c r="L10" s="74">
        <f t="shared" si="4"/>
        <v>0</v>
      </c>
      <c r="M10" s="75">
        <f t="shared" si="5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6"/>
        <v>0</v>
      </c>
      <c r="Q10" s="74">
        <f t="shared" si="7"/>
        <v>0</v>
      </c>
      <c r="R10" s="75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4">
        <f t="shared" si="10"/>
        <v>0</v>
      </c>
      <c r="W10" s="75">
        <f t="shared" si="11"/>
        <v>0</v>
      </c>
      <c r="X10" s="76">
        <f t="shared" si="12"/>
        <v>0</v>
      </c>
      <c r="Y10" s="46">
        <f t="shared" si="13"/>
        <v>0</v>
      </c>
    </row>
    <row r="11" spans="2:25" x14ac:dyDescent="0.25">
      <c r="B11" s="20" t="str">
        <f>+'County Data'!$B$28</f>
        <v>Lake</v>
      </c>
      <c r="C11" s="15">
        <f>VLOOKUP($B11,'County Data'!$B$10:$P$46,2,FALSE)</f>
        <v>8075</v>
      </c>
      <c r="D11" s="26" t="str">
        <f>VLOOKUP($B11,'County Data'!$B$9:$P$46,12,FALSE)</f>
        <v>Y</v>
      </c>
      <c r="E11" s="74">
        <f>IF(D11="Y",$C$3*Input!$C$29/36*E$4,0)</f>
        <v>0</v>
      </c>
      <c r="F11" s="15">
        <f t="shared" si="0"/>
        <v>8075</v>
      </c>
      <c r="G11" s="74">
        <f t="shared" si="1"/>
        <v>0</v>
      </c>
      <c r="H11" s="75">
        <f t="shared" si="2"/>
        <v>0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3"/>
        <v>0</v>
      </c>
      <c r="L11" s="74">
        <f t="shared" si="4"/>
        <v>0</v>
      </c>
      <c r="M11" s="75">
        <f t="shared" si="5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6"/>
        <v>0</v>
      </c>
      <c r="Q11" s="74">
        <f t="shared" si="7"/>
        <v>0</v>
      </c>
      <c r="R11" s="75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4">
        <f t="shared" si="10"/>
        <v>0</v>
      </c>
      <c r="W11" s="75">
        <f t="shared" si="11"/>
        <v>0</v>
      </c>
      <c r="X11" s="76">
        <f t="shared" si="12"/>
        <v>0</v>
      </c>
      <c r="Y11" s="46">
        <f t="shared" si="13"/>
        <v>0</v>
      </c>
    </row>
    <row r="12" spans="2:25" x14ac:dyDescent="0.25">
      <c r="B12" s="20" t="str">
        <f>+'County Data'!$B$34</f>
        <v>Morrow</v>
      </c>
      <c r="C12" s="15">
        <f>VLOOKUP($B12,'County Data'!$B$10:$P$46,2,FALSE)</f>
        <v>12825</v>
      </c>
      <c r="D12" s="26" t="str">
        <f>VLOOKUP($B12,'County Data'!$B$9:$P$46,12,FALSE)</f>
        <v>Y</v>
      </c>
      <c r="E12" s="74">
        <f>IF(D12="Y",$C$3*Input!$C$29/36*E$4,0)</f>
        <v>0</v>
      </c>
      <c r="F12" s="15">
        <f t="shared" si="0"/>
        <v>12825</v>
      </c>
      <c r="G12" s="74">
        <f t="shared" si="1"/>
        <v>0</v>
      </c>
      <c r="H12" s="75">
        <f t="shared" si="2"/>
        <v>0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3"/>
        <v>0</v>
      </c>
      <c r="L12" s="74">
        <f t="shared" si="4"/>
        <v>0</v>
      </c>
      <c r="M12" s="75">
        <f t="shared" si="5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6"/>
        <v>0</v>
      </c>
      <c r="Q12" s="74">
        <f t="shared" si="7"/>
        <v>0</v>
      </c>
      <c r="R12" s="75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4">
        <f t="shared" si="10"/>
        <v>0</v>
      </c>
      <c r="W12" s="75">
        <f t="shared" si="11"/>
        <v>0</v>
      </c>
      <c r="X12" s="76">
        <f t="shared" si="12"/>
        <v>0</v>
      </c>
      <c r="Y12" s="46">
        <f t="shared" si="13"/>
        <v>0</v>
      </c>
    </row>
    <row r="13" spans="2:25" x14ac:dyDescent="0.25">
      <c r="B13" s="20" t="str">
        <f>+'County Data'!$B$10</f>
        <v>Baker</v>
      </c>
      <c r="C13" s="15">
        <f>VLOOKUP($B13,'County Data'!$B$10:$P$46,2,FALSE)</f>
        <v>16910</v>
      </c>
      <c r="D13" s="26" t="str">
        <f>VLOOKUP($B13,'County Data'!$B$9:$P$46,12,FALSE)</f>
        <v>Y</v>
      </c>
      <c r="E13" s="74">
        <f>IF(D13="Y",$C$3*Input!$C$29/36*E$4,0)</f>
        <v>0</v>
      </c>
      <c r="F13" s="15">
        <f t="shared" si="0"/>
        <v>16910</v>
      </c>
      <c r="G13" s="74">
        <f t="shared" si="1"/>
        <v>0</v>
      </c>
      <c r="H13" s="75">
        <f t="shared" si="2"/>
        <v>0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3"/>
        <v>0</v>
      </c>
      <c r="L13" s="74">
        <f t="shared" si="4"/>
        <v>0</v>
      </c>
      <c r="M13" s="75">
        <f t="shared" si="5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6"/>
        <v>0</v>
      </c>
      <c r="Q13" s="74">
        <f t="shared" si="7"/>
        <v>0</v>
      </c>
      <c r="R13" s="75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4">
        <f t="shared" si="10"/>
        <v>0</v>
      </c>
      <c r="W13" s="75">
        <f t="shared" si="11"/>
        <v>0</v>
      </c>
      <c r="X13" s="76">
        <f t="shared" si="12"/>
        <v>0</v>
      </c>
      <c r="Y13" s="46">
        <f t="shared" si="13"/>
        <v>0</v>
      </c>
    </row>
    <row r="14" spans="2:25" x14ac:dyDescent="0.25">
      <c r="B14" s="20" t="str">
        <f>+'County Data'!$B$16</f>
        <v>Crook</v>
      </c>
      <c r="C14" s="15">
        <f>VLOOKUP($B14,'County Data'!$B$10:$P$46,2,FALSE)</f>
        <v>23440</v>
      </c>
      <c r="D14" s="26" t="str">
        <f>VLOOKUP($B14,'County Data'!$B$9:$P$46,12,FALSE)</f>
        <v>Y</v>
      </c>
      <c r="E14" s="74">
        <f>IF(D14="Y",$C$3*Input!$C$29/36*E$4,0)</f>
        <v>0</v>
      </c>
      <c r="F14" s="15">
        <f t="shared" si="0"/>
        <v>23440</v>
      </c>
      <c r="G14" s="74">
        <f t="shared" si="1"/>
        <v>0</v>
      </c>
      <c r="H14" s="75">
        <f t="shared" si="2"/>
        <v>0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3"/>
        <v>0</v>
      </c>
      <c r="L14" s="74">
        <f t="shared" si="4"/>
        <v>0</v>
      </c>
      <c r="M14" s="75">
        <f t="shared" si="5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6"/>
        <v>0</v>
      </c>
      <c r="Q14" s="74">
        <f t="shared" si="7"/>
        <v>0</v>
      </c>
      <c r="R14" s="75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4">
        <f t="shared" si="10"/>
        <v>0</v>
      </c>
      <c r="W14" s="75">
        <f t="shared" si="11"/>
        <v>0</v>
      </c>
      <c r="X14" s="76">
        <f t="shared" si="12"/>
        <v>0</v>
      </c>
      <c r="Y14" s="46">
        <f t="shared" si="13"/>
        <v>0</v>
      </c>
    </row>
    <row r="15" spans="2:25" x14ac:dyDescent="0.25">
      <c r="B15" s="20" t="str">
        <f>+'County Data'!$B$25</f>
        <v>Jefferson</v>
      </c>
      <c r="C15" s="15">
        <f>VLOOKUP($B15,'County Data'!$B$10:$P$46,2,FALSE)</f>
        <v>24105</v>
      </c>
      <c r="D15" s="26" t="str">
        <f>VLOOKUP($B15,'County Data'!$B$9:$P$46,12,FALSE)</f>
        <v>Y</v>
      </c>
      <c r="E15" s="74">
        <f>IF(D15="Y",$C$3*Input!$C$29/36*E$4,0)</f>
        <v>0</v>
      </c>
      <c r="F15" s="15">
        <f t="shared" si="0"/>
        <v>24105</v>
      </c>
      <c r="G15" s="74">
        <f t="shared" si="1"/>
        <v>0</v>
      </c>
      <c r="H15" s="75">
        <f t="shared" si="2"/>
        <v>0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3"/>
        <v>0</v>
      </c>
      <c r="L15" s="74">
        <f t="shared" si="4"/>
        <v>0</v>
      </c>
      <c r="M15" s="75">
        <f t="shared" si="5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6"/>
        <v>0</v>
      </c>
      <c r="Q15" s="74">
        <f t="shared" si="7"/>
        <v>0</v>
      </c>
      <c r="R15" s="75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4">
        <f t="shared" si="10"/>
        <v>0</v>
      </c>
      <c r="W15" s="75">
        <f t="shared" si="11"/>
        <v>0</v>
      </c>
      <c r="X15" s="76">
        <f t="shared" si="12"/>
        <v>0</v>
      </c>
      <c r="Y15" s="46">
        <f t="shared" si="13"/>
        <v>0</v>
      </c>
    </row>
    <row r="16" spans="2:25" x14ac:dyDescent="0.25">
      <c r="B16" s="20" t="str">
        <f>+'County Data'!$B$17</f>
        <v>Curry</v>
      </c>
      <c r="C16" s="15">
        <f>VLOOKUP($B16,'County Data'!$B$10:$P$46,2,FALSE)</f>
        <v>23005</v>
      </c>
      <c r="D16" s="26" t="str">
        <f>VLOOKUP($B16,'County Data'!$B$9:$P$46,12,FALSE)</f>
        <v>Y</v>
      </c>
      <c r="E16" s="74">
        <f>IF(D16="Y",$C$3*Input!$C$29/36*E$4,0)</f>
        <v>0</v>
      </c>
      <c r="F16" s="15">
        <f t="shared" si="0"/>
        <v>23005</v>
      </c>
      <c r="G16" s="74">
        <f t="shared" si="1"/>
        <v>0</v>
      </c>
      <c r="H16" s="75">
        <f t="shared" si="2"/>
        <v>0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3"/>
        <v>0</v>
      </c>
      <c r="L16" s="74">
        <f t="shared" si="4"/>
        <v>0</v>
      </c>
      <c r="M16" s="75">
        <f t="shared" si="5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6"/>
        <v>0</v>
      </c>
      <c r="Q16" s="74">
        <f t="shared" si="7"/>
        <v>0</v>
      </c>
      <c r="R16" s="75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4">
        <f t="shared" si="10"/>
        <v>0</v>
      </c>
      <c r="W16" s="75">
        <f t="shared" si="11"/>
        <v>0</v>
      </c>
      <c r="X16" s="76">
        <f t="shared" si="12"/>
        <v>0</v>
      </c>
      <c r="Y16" s="46">
        <f t="shared" si="13"/>
        <v>0</v>
      </c>
    </row>
    <row r="17" spans="2:25" x14ac:dyDescent="0.25">
      <c r="B17" s="20" t="str">
        <f>+'County Data'!$B$23</f>
        <v>Hood River</v>
      </c>
      <c r="C17" s="15">
        <f>VLOOKUP($B17,'County Data'!$B$10:$P$46,2,FALSE)</f>
        <v>25640</v>
      </c>
      <c r="D17" s="26" t="str">
        <f>VLOOKUP($B17,'County Data'!$B$9:$P$46,12,FALSE)</f>
        <v>Y</v>
      </c>
      <c r="E17" s="74">
        <f>IF(D17="Y",$C$3*Input!$C$29/36*E$4,0)</f>
        <v>0</v>
      </c>
      <c r="F17" s="15">
        <f t="shared" si="0"/>
        <v>25640</v>
      </c>
      <c r="G17" s="74">
        <f t="shared" si="1"/>
        <v>0</v>
      </c>
      <c r="H17" s="75">
        <f t="shared" si="2"/>
        <v>0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3"/>
        <v>0</v>
      </c>
      <c r="L17" s="74">
        <f t="shared" si="4"/>
        <v>0</v>
      </c>
      <c r="M17" s="75">
        <f t="shared" si="5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6"/>
        <v>0</v>
      </c>
      <c r="Q17" s="74">
        <f t="shared" si="7"/>
        <v>0</v>
      </c>
      <c r="R17" s="75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4">
        <f t="shared" si="10"/>
        <v>0</v>
      </c>
      <c r="W17" s="75">
        <f t="shared" si="11"/>
        <v>0</v>
      </c>
      <c r="X17" s="76">
        <f t="shared" si="12"/>
        <v>0</v>
      </c>
      <c r="Y17" s="46">
        <f t="shared" si="13"/>
        <v>0</v>
      </c>
    </row>
    <row r="18" spans="2:25" x14ac:dyDescent="0.25">
      <c r="B18" s="20" t="str">
        <f>+'County Data'!$B$39</f>
        <v>Tillamook</v>
      </c>
      <c r="C18" s="15">
        <f>VLOOKUP($B18,'County Data'!$B$10:$P$46,2,FALSE)</f>
        <v>26530</v>
      </c>
      <c r="D18" s="26" t="str">
        <f>VLOOKUP($B18,'County Data'!$B$9:$P$46,12,FALSE)</f>
        <v>Y</v>
      </c>
      <c r="E18" s="74">
        <f>IF(D18="Y",$C$3*Input!$C$29/36*E$4,0)</f>
        <v>0</v>
      </c>
      <c r="F18" s="15">
        <f t="shared" si="0"/>
        <v>26530</v>
      </c>
      <c r="G18" s="74">
        <f t="shared" si="1"/>
        <v>0</v>
      </c>
      <c r="H18" s="75">
        <f t="shared" si="2"/>
        <v>0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3"/>
        <v>0</v>
      </c>
      <c r="L18" s="74">
        <f t="shared" si="4"/>
        <v>0</v>
      </c>
      <c r="M18" s="75">
        <f t="shared" si="5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6"/>
        <v>0</v>
      </c>
      <c r="Q18" s="74">
        <f t="shared" si="7"/>
        <v>0</v>
      </c>
      <c r="R18" s="75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4">
        <f t="shared" si="10"/>
        <v>0</v>
      </c>
      <c r="W18" s="75">
        <f t="shared" si="11"/>
        <v>0</v>
      </c>
      <c r="X18" s="76">
        <f t="shared" si="12"/>
        <v>0</v>
      </c>
      <c r="Y18" s="46">
        <f t="shared" si="13"/>
        <v>0</v>
      </c>
    </row>
    <row r="19" spans="2:25" x14ac:dyDescent="0.25">
      <c r="B19" s="20" t="str">
        <f>+'County Data'!$B$41</f>
        <v>Union</v>
      </c>
      <c r="C19" s="15">
        <f>VLOOKUP($B19,'County Data'!$B$10:$P$46,2,FALSE)</f>
        <v>26840</v>
      </c>
      <c r="D19" s="26" t="str">
        <f>VLOOKUP($B19,'County Data'!$B$9:$P$46,12,FALSE)</f>
        <v>Y</v>
      </c>
      <c r="E19" s="74">
        <f>IF(D19="Y",$C$3*Input!$C$29/36*E$4,0)</f>
        <v>0</v>
      </c>
      <c r="F19" s="15">
        <f t="shared" si="0"/>
        <v>26840</v>
      </c>
      <c r="G19" s="74">
        <f t="shared" si="1"/>
        <v>0</v>
      </c>
      <c r="H19" s="75">
        <f t="shared" si="2"/>
        <v>0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3"/>
        <v>0</v>
      </c>
      <c r="L19" s="74">
        <f t="shared" si="4"/>
        <v>0</v>
      </c>
      <c r="M19" s="75">
        <f t="shared" si="5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6"/>
        <v>0</v>
      </c>
      <c r="Q19" s="74">
        <f t="shared" si="7"/>
        <v>0</v>
      </c>
      <c r="R19" s="75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4">
        <f t="shared" si="10"/>
        <v>0</v>
      </c>
      <c r="W19" s="75">
        <f t="shared" si="11"/>
        <v>0</v>
      </c>
      <c r="X19" s="76">
        <f t="shared" si="12"/>
        <v>0</v>
      </c>
      <c r="Y19" s="46">
        <f t="shared" si="13"/>
        <v>0</v>
      </c>
    </row>
    <row r="20" spans="2:25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26" t="str">
        <f>VLOOKUP($B20,'County Data'!$B$9:$P$46,12,FALSE)</f>
        <v>Y</v>
      </c>
      <c r="E20" s="74">
        <f>IF(D20="Y",$C$3*Input!$C$29/36*3*E$4,0)</f>
        <v>0</v>
      </c>
      <c r="F20" s="15">
        <f t="shared" si="0"/>
        <v>31080</v>
      </c>
      <c r="G20" s="74">
        <f t="shared" si="1"/>
        <v>0</v>
      </c>
      <c r="H20" s="75">
        <f t="shared" si="2"/>
        <v>0</v>
      </c>
      <c r="I20" s="26">
        <f>VLOOKUP($B20,'County Data'!$B$9:$P$46,13,FALSE)</f>
        <v>0</v>
      </c>
      <c r="J20" s="47">
        <f>IF(I20="Y",$C$3*Input!$C$29/36*3*J$4,0)</f>
        <v>0</v>
      </c>
      <c r="K20" s="15">
        <f t="shared" si="3"/>
        <v>0</v>
      </c>
      <c r="L20" s="74">
        <f t="shared" si="4"/>
        <v>0</v>
      </c>
      <c r="M20" s="75">
        <f t="shared" si="5"/>
        <v>0</v>
      </c>
      <c r="N20" s="26">
        <f>VLOOKUP($B20,'County Data'!$B$9:$P$46,14,FALSE)</f>
        <v>0</v>
      </c>
      <c r="O20" s="47">
        <f>IF(N20="Y",$C$3*Input!$C$29/36*3*O$4,0)</f>
        <v>0</v>
      </c>
      <c r="P20" s="15">
        <f t="shared" si="6"/>
        <v>0</v>
      </c>
      <c r="Q20" s="74">
        <f t="shared" si="7"/>
        <v>0</v>
      </c>
      <c r="R20" s="75">
        <f t="shared" si="8"/>
        <v>0</v>
      </c>
      <c r="S20" s="26">
        <f>VLOOKUP($B20,'County Data'!$B$9:$P$46,15,FALSE)</f>
        <v>0</v>
      </c>
      <c r="T20" s="47">
        <f>IF(S20="Y",$C$3*Input!$C$29/36*3*T$4,0)</f>
        <v>0</v>
      </c>
      <c r="U20" s="15">
        <f t="shared" si="9"/>
        <v>0</v>
      </c>
      <c r="V20" s="74">
        <f t="shared" si="10"/>
        <v>0</v>
      </c>
      <c r="W20" s="75">
        <f t="shared" si="11"/>
        <v>0</v>
      </c>
      <c r="X20" s="76">
        <f t="shared" si="12"/>
        <v>0</v>
      </c>
      <c r="Y20" s="46">
        <f t="shared" si="13"/>
        <v>0</v>
      </c>
    </row>
    <row r="21" spans="2:25" x14ac:dyDescent="0.25">
      <c r="B21" s="20" t="str">
        <f>+'County Data'!$B$32</f>
        <v>Malheur</v>
      </c>
      <c r="C21" s="15">
        <f>VLOOKUP($B21,'County Data'!$B$10:$P$46,2,FALSE)</f>
        <v>32105</v>
      </c>
      <c r="D21" s="26" t="str">
        <f>VLOOKUP($B21,'County Data'!$B$9:$P$46,12,FALSE)</f>
        <v>Y</v>
      </c>
      <c r="E21" s="74">
        <f>IF(D21="Y",$C$3*Input!$C$29/36*E$4,0)</f>
        <v>0</v>
      </c>
      <c r="F21" s="15">
        <f t="shared" si="0"/>
        <v>32105</v>
      </c>
      <c r="G21" s="74">
        <f t="shared" si="1"/>
        <v>0</v>
      </c>
      <c r="H21" s="75">
        <f t="shared" si="2"/>
        <v>0</v>
      </c>
      <c r="I21" s="26">
        <f>VLOOKUP($B21,'County Data'!$B$9:$P$46,13,FALSE)</f>
        <v>0</v>
      </c>
      <c r="J21" s="47">
        <f>IF(I21="Y",$C$3*Input!$C$29/36*J$4,0)</f>
        <v>0</v>
      </c>
      <c r="K21" s="15">
        <f t="shared" si="3"/>
        <v>0</v>
      </c>
      <c r="L21" s="74">
        <f t="shared" si="4"/>
        <v>0</v>
      </c>
      <c r="M21" s="75">
        <f t="shared" si="5"/>
        <v>0</v>
      </c>
      <c r="N21" s="26">
        <f>VLOOKUP($B21,'County Data'!$B$9:$P$46,14,FALSE)</f>
        <v>0</v>
      </c>
      <c r="O21" s="47">
        <f>IF(N21="Y",$C$3*Input!$C$29/36*O$4,0)</f>
        <v>0</v>
      </c>
      <c r="P21" s="15">
        <f t="shared" si="6"/>
        <v>0</v>
      </c>
      <c r="Q21" s="74">
        <f t="shared" si="7"/>
        <v>0</v>
      </c>
      <c r="R21" s="75">
        <f t="shared" si="8"/>
        <v>0</v>
      </c>
      <c r="S21" s="26">
        <f>VLOOKUP($B21,'County Data'!$B$9:$P$46,15,FALSE)</f>
        <v>0</v>
      </c>
      <c r="T21" s="47">
        <f>IF(S21="Y",$C$3*Input!$C$29/36*T$4,0)</f>
        <v>0</v>
      </c>
      <c r="U21" s="15">
        <f t="shared" si="9"/>
        <v>0</v>
      </c>
      <c r="V21" s="74">
        <f t="shared" si="10"/>
        <v>0</v>
      </c>
      <c r="W21" s="75">
        <f t="shared" si="11"/>
        <v>0</v>
      </c>
      <c r="X21" s="76">
        <f t="shared" si="12"/>
        <v>0</v>
      </c>
      <c r="Y21" s="46">
        <f t="shared" si="13"/>
        <v>0</v>
      </c>
    </row>
    <row r="22" spans="2:25" x14ac:dyDescent="0.25">
      <c r="B22" s="20" t="str">
        <f>+'County Data'!$B$13</f>
        <v>Clatsop</v>
      </c>
      <c r="C22" s="15">
        <f>VLOOKUP($B22,'County Data'!$B$10:$P$46,2,FALSE)</f>
        <v>39455</v>
      </c>
      <c r="D22" s="26" t="str">
        <f>VLOOKUP($B22,'County Data'!$B$9:$P$46,12,FALSE)</f>
        <v>Y</v>
      </c>
      <c r="E22" s="74">
        <f>IF(D22="Y",$C$3*Input!$C$29/36*E$4,0)</f>
        <v>0</v>
      </c>
      <c r="F22" s="15">
        <f t="shared" si="0"/>
        <v>39455</v>
      </c>
      <c r="G22" s="74">
        <f t="shared" si="1"/>
        <v>0</v>
      </c>
      <c r="H22" s="75">
        <f t="shared" si="2"/>
        <v>0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3"/>
        <v>0</v>
      </c>
      <c r="L22" s="74">
        <f t="shared" si="4"/>
        <v>0</v>
      </c>
      <c r="M22" s="75">
        <f t="shared" si="5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6"/>
        <v>0</v>
      </c>
      <c r="Q22" s="74">
        <f t="shared" si="7"/>
        <v>0</v>
      </c>
      <c r="R22" s="75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4">
        <f t="shared" si="10"/>
        <v>0</v>
      </c>
      <c r="W22" s="75">
        <f t="shared" si="11"/>
        <v>0</v>
      </c>
      <c r="X22" s="76">
        <f t="shared" si="12"/>
        <v>0</v>
      </c>
      <c r="Y22" s="46">
        <f t="shared" si="13"/>
        <v>0</v>
      </c>
    </row>
    <row r="23" spans="2:25" x14ac:dyDescent="0.25">
      <c r="B23" s="20" t="str">
        <f>+'County Data'!$B$30</f>
        <v>Lincoln</v>
      </c>
      <c r="C23" s="15">
        <f>VLOOKUP($B23,'County Data'!$B$10:$P$46,2,FALSE)</f>
        <v>48305</v>
      </c>
      <c r="D23" s="26" t="str">
        <f>VLOOKUP($B23,'County Data'!$B$9:$P$46,12,FALSE)</f>
        <v>Y</v>
      </c>
      <c r="E23" s="74">
        <f>IF(D23="Y",$C$3*Input!$C$29/36*E$4,0)</f>
        <v>0</v>
      </c>
      <c r="F23" s="15">
        <f t="shared" si="0"/>
        <v>48305</v>
      </c>
      <c r="G23" s="74">
        <f t="shared" si="1"/>
        <v>0</v>
      </c>
      <c r="H23" s="75">
        <f t="shared" si="2"/>
        <v>0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3"/>
        <v>0</v>
      </c>
      <c r="L23" s="74">
        <f t="shared" si="4"/>
        <v>0</v>
      </c>
      <c r="M23" s="75">
        <f t="shared" si="5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6"/>
        <v>0</v>
      </c>
      <c r="Q23" s="74">
        <f t="shared" si="7"/>
        <v>0</v>
      </c>
      <c r="R23" s="75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4">
        <f t="shared" si="10"/>
        <v>0</v>
      </c>
      <c r="W23" s="75">
        <f t="shared" si="11"/>
        <v>0</v>
      </c>
      <c r="X23" s="76">
        <f t="shared" si="12"/>
        <v>0</v>
      </c>
      <c r="Y23" s="46">
        <f t="shared" si="13"/>
        <v>0</v>
      </c>
    </row>
    <row r="24" spans="2:25" x14ac:dyDescent="0.25">
      <c r="B24" s="20" t="str">
        <f>+'County Data'!$B$14</f>
        <v>Columbia</v>
      </c>
      <c r="C24" s="15">
        <f>VLOOKUP($B24,'County Data'!$B$10:$P$46,2,FALSE)</f>
        <v>53280</v>
      </c>
      <c r="D24" s="26" t="str">
        <f>VLOOKUP($B24,'County Data'!$B$9:$P$46,12,FALSE)</f>
        <v>Y</v>
      </c>
      <c r="E24" s="74">
        <f>IF(D24="Y",$C$3*Input!$C$29/36*E$4,0)</f>
        <v>0</v>
      </c>
      <c r="F24" s="15">
        <f t="shared" si="0"/>
        <v>53280</v>
      </c>
      <c r="G24" s="74">
        <f t="shared" si="1"/>
        <v>0</v>
      </c>
      <c r="H24" s="75">
        <f t="shared" si="2"/>
        <v>0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3"/>
        <v>0</v>
      </c>
      <c r="L24" s="74">
        <f t="shared" si="4"/>
        <v>0</v>
      </c>
      <c r="M24" s="75">
        <f t="shared" si="5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6"/>
        <v>0</v>
      </c>
      <c r="Q24" s="74">
        <f t="shared" si="7"/>
        <v>0</v>
      </c>
      <c r="R24" s="75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4">
        <f t="shared" si="10"/>
        <v>0</v>
      </c>
      <c r="W24" s="75">
        <f t="shared" si="11"/>
        <v>0</v>
      </c>
      <c r="X24" s="76">
        <f t="shared" si="12"/>
        <v>0</v>
      </c>
      <c r="Y24" s="46">
        <f t="shared" si="13"/>
        <v>0</v>
      </c>
    </row>
    <row r="25" spans="2:25" x14ac:dyDescent="0.25">
      <c r="B25" s="20" t="str">
        <f>+'County Data'!$B$15</f>
        <v>Coos</v>
      </c>
      <c r="C25" s="15">
        <f>VLOOKUP($B25,'County Data'!$B$10:$P$46,2,FALSE)</f>
        <v>63315</v>
      </c>
      <c r="D25" s="26" t="str">
        <f>VLOOKUP($B25,'County Data'!$B$9:$P$46,12,FALSE)</f>
        <v>Y</v>
      </c>
      <c r="E25" s="74">
        <f>IF(D25="Y",$C$3*Input!$C$29/36*E$4,0)</f>
        <v>0</v>
      </c>
      <c r="F25" s="15">
        <f t="shared" si="0"/>
        <v>63315</v>
      </c>
      <c r="G25" s="74">
        <f t="shared" si="1"/>
        <v>0</v>
      </c>
      <c r="H25" s="75">
        <f t="shared" si="2"/>
        <v>0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3"/>
        <v>0</v>
      </c>
      <c r="L25" s="74">
        <f t="shared" si="4"/>
        <v>0</v>
      </c>
      <c r="M25" s="75">
        <f t="shared" si="5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6"/>
        <v>0</v>
      </c>
      <c r="Q25" s="74">
        <f t="shared" si="7"/>
        <v>0</v>
      </c>
      <c r="R25" s="75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4">
        <f t="shared" si="10"/>
        <v>0</v>
      </c>
      <c r="W25" s="75">
        <f t="shared" si="11"/>
        <v>0</v>
      </c>
      <c r="X25" s="76">
        <f t="shared" si="12"/>
        <v>0</v>
      </c>
      <c r="Y25" s="46">
        <f t="shared" si="13"/>
        <v>0</v>
      </c>
    </row>
    <row r="26" spans="2:25" x14ac:dyDescent="0.25">
      <c r="B26" s="20" t="str">
        <f>+'County Data'!$B$27</f>
        <v>Klamath</v>
      </c>
      <c r="C26" s="15">
        <f>VLOOKUP($B26,'County Data'!$B$10:$P$46,2,FALSE)</f>
        <v>68075</v>
      </c>
      <c r="D26" s="26" t="str">
        <f>VLOOKUP($B26,'County Data'!$B$9:$P$46,12,FALSE)</f>
        <v>Y</v>
      </c>
      <c r="E26" s="74">
        <f>IF(D26="Y",$C$3*Input!$C$29/36*E$4,0)</f>
        <v>0</v>
      </c>
      <c r="F26" s="15">
        <f t="shared" si="0"/>
        <v>68075</v>
      </c>
      <c r="G26" s="74">
        <f t="shared" si="1"/>
        <v>0</v>
      </c>
      <c r="H26" s="75">
        <f t="shared" si="2"/>
        <v>0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3"/>
        <v>0</v>
      </c>
      <c r="L26" s="74">
        <f t="shared" si="4"/>
        <v>0</v>
      </c>
      <c r="M26" s="75">
        <f t="shared" si="5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6"/>
        <v>0</v>
      </c>
      <c r="Q26" s="74">
        <f t="shared" si="7"/>
        <v>0</v>
      </c>
      <c r="R26" s="75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4">
        <f t="shared" si="10"/>
        <v>0</v>
      </c>
      <c r="W26" s="75">
        <f t="shared" si="11"/>
        <v>0</v>
      </c>
      <c r="X26" s="76">
        <f t="shared" si="12"/>
        <v>0</v>
      </c>
      <c r="Y26" s="46">
        <f t="shared" si="13"/>
        <v>0</v>
      </c>
    </row>
    <row r="27" spans="2:25" x14ac:dyDescent="0.25">
      <c r="B27" s="20" t="str">
        <f>+'County Data'!$B$37</f>
        <v>Polk</v>
      </c>
      <c r="C27" s="15">
        <f>VLOOKUP($B27,'County Data'!$B$10:$P$46,2,FALSE)</f>
        <v>83805</v>
      </c>
      <c r="D27" s="26" t="str">
        <f>VLOOKUP($B27,'County Data'!$B$9:$P$46,12,FALSE)</f>
        <v>Y</v>
      </c>
      <c r="E27" s="74">
        <f>IF(D27="Y",$C$3*Input!$C$29/36*E$4,0)</f>
        <v>0</v>
      </c>
      <c r="F27" s="15">
        <f t="shared" si="0"/>
        <v>83805</v>
      </c>
      <c r="G27" s="74">
        <f t="shared" si="1"/>
        <v>0</v>
      </c>
      <c r="H27" s="75">
        <f t="shared" si="2"/>
        <v>0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3"/>
        <v>0</v>
      </c>
      <c r="L27" s="74">
        <f t="shared" si="4"/>
        <v>0</v>
      </c>
      <c r="M27" s="75">
        <f t="shared" si="5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6"/>
        <v>0</v>
      </c>
      <c r="Q27" s="74">
        <f t="shared" si="7"/>
        <v>0</v>
      </c>
      <c r="R27" s="75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4">
        <f t="shared" si="10"/>
        <v>0</v>
      </c>
      <c r="W27" s="75">
        <f t="shared" si="11"/>
        <v>0</v>
      </c>
      <c r="X27" s="76">
        <f t="shared" si="12"/>
        <v>0</v>
      </c>
      <c r="Y27" s="46">
        <f t="shared" si="13"/>
        <v>0</v>
      </c>
    </row>
    <row r="28" spans="2:25" x14ac:dyDescent="0.25">
      <c r="B28" s="20" t="str">
        <f>+'County Data'!$B$40</f>
        <v>Umatilla</v>
      </c>
      <c r="C28" s="15">
        <f>VLOOKUP($B28,'County Data'!$B$10:$P$46,2,FALSE)</f>
        <v>81495</v>
      </c>
      <c r="D28" s="26" t="str">
        <f>VLOOKUP($B28,'County Data'!$B$9:$P$46,12,FALSE)</f>
        <v>Y</v>
      </c>
      <c r="E28" s="74">
        <f>IF(D28="Y",$C$3*Input!$C$29/36*E$4,0)</f>
        <v>0</v>
      </c>
      <c r="F28" s="15">
        <f t="shared" si="0"/>
        <v>81495</v>
      </c>
      <c r="G28" s="74">
        <f t="shared" si="1"/>
        <v>0</v>
      </c>
      <c r="H28" s="75">
        <f t="shared" si="2"/>
        <v>0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3"/>
        <v>0</v>
      </c>
      <c r="L28" s="74">
        <f t="shared" si="4"/>
        <v>0</v>
      </c>
      <c r="M28" s="75">
        <f t="shared" si="5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6"/>
        <v>0</v>
      </c>
      <c r="Q28" s="74">
        <f t="shared" si="7"/>
        <v>0</v>
      </c>
      <c r="R28" s="75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4">
        <f t="shared" si="10"/>
        <v>0</v>
      </c>
      <c r="W28" s="75">
        <f t="shared" si="11"/>
        <v>0</v>
      </c>
      <c r="X28" s="76">
        <f t="shared" si="12"/>
        <v>0</v>
      </c>
      <c r="Y28" s="46">
        <f t="shared" si="13"/>
        <v>0</v>
      </c>
    </row>
    <row r="29" spans="2:25" x14ac:dyDescent="0.25">
      <c r="B29" s="20" t="str">
        <f>+'County Data'!$B$26</f>
        <v>Josephine</v>
      </c>
      <c r="C29" s="15">
        <f>VLOOKUP($B29,'County Data'!$B$10:$P$46,2,FALSE)</f>
        <v>86560</v>
      </c>
      <c r="D29" s="26" t="str">
        <f>VLOOKUP($B29,'County Data'!$B$9:$P$46,12,FALSE)</f>
        <v>Y</v>
      </c>
      <c r="E29" s="74">
        <f>IF(D29="Y",$C$3*Input!$C$29/36*E$4,0)</f>
        <v>0</v>
      </c>
      <c r="F29" s="15">
        <f t="shared" si="0"/>
        <v>86560</v>
      </c>
      <c r="G29" s="74">
        <f t="shared" si="1"/>
        <v>0</v>
      </c>
      <c r="H29" s="75">
        <f t="shared" si="2"/>
        <v>0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3"/>
        <v>0</v>
      </c>
      <c r="L29" s="74">
        <f t="shared" si="4"/>
        <v>0</v>
      </c>
      <c r="M29" s="75">
        <f t="shared" si="5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6"/>
        <v>0</v>
      </c>
      <c r="Q29" s="74">
        <f t="shared" si="7"/>
        <v>0</v>
      </c>
      <c r="R29" s="75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4">
        <f t="shared" si="10"/>
        <v>0</v>
      </c>
      <c r="W29" s="75">
        <f t="shared" si="11"/>
        <v>0</v>
      </c>
      <c r="X29" s="76">
        <f t="shared" si="12"/>
        <v>0</v>
      </c>
      <c r="Y29" s="46">
        <f t="shared" si="13"/>
        <v>0</v>
      </c>
    </row>
    <row r="30" spans="2:25" x14ac:dyDescent="0.25">
      <c r="B30" s="20" t="str">
        <f>+'County Data'!$B$11</f>
        <v>Benton</v>
      </c>
      <c r="C30" s="15">
        <f>VLOOKUP($B30,'County Data'!$B$10:$P$46,2,FALSE)</f>
        <v>94665</v>
      </c>
      <c r="D30" s="26" t="str">
        <f>VLOOKUP($B30,'County Data'!$B$9:$P$46,12,FALSE)</f>
        <v>Y</v>
      </c>
      <c r="E30" s="74">
        <f>IF(D30="Y",$C$3*Input!$C$29/36*E$4,0)</f>
        <v>0</v>
      </c>
      <c r="F30" s="15">
        <f t="shared" si="0"/>
        <v>94665</v>
      </c>
      <c r="G30" s="74">
        <f t="shared" si="1"/>
        <v>0</v>
      </c>
      <c r="H30" s="75">
        <f t="shared" si="2"/>
        <v>0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3"/>
        <v>0</v>
      </c>
      <c r="L30" s="74">
        <f t="shared" si="4"/>
        <v>0</v>
      </c>
      <c r="M30" s="75">
        <f t="shared" si="5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6"/>
        <v>0</v>
      </c>
      <c r="Q30" s="74">
        <f t="shared" si="7"/>
        <v>0</v>
      </c>
      <c r="R30" s="75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4">
        <f t="shared" si="10"/>
        <v>0</v>
      </c>
      <c r="W30" s="75">
        <f t="shared" si="11"/>
        <v>0</v>
      </c>
      <c r="X30" s="76">
        <f t="shared" si="12"/>
        <v>0</v>
      </c>
      <c r="Y30" s="46">
        <f t="shared" si="13"/>
        <v>0</v>
      </c>
    </row>
    <row r="31" spans="2:25" x14ac:dyDescent="0.25">
      <c r="B31" s="20" t="str">
        <f>+'County Data'!$B$46</f>
        <v>Yamhill</v>
      </c>
      <c r="C31" s="15">
        <f>VLOOKUP($B31,'County Data'!$B$10:$P$46,2,FALSE)</f>
        <v>108605</v>
      </c>
      <c r="D31" s="26" t="str">
        <f>VLOOKUP($B31,'County Data'!$B$9:$P$46,12,FALSE)</f>
        <v>Y</v>
      </c>
      <c r="E31" s="74">
        <f>IF(D31="Y",$C$3*Input!$C$29/36*E$4,0)</f>
        <v>0</v>
      </c>
      <c r="F31" s="15">
        <f t="shared" si="0"/>
        <v>108605</v>
      </c>
      <c r="G31" s="74">
        <f t="shared" si="1"/>
        <v>0</v>
      </c>
      <c r="H31" s="75">
        <f t="shared" si="2"/>
        <v>0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3"/>
        <v>0</v>
      </c>
      <c r="L31" s="74">
        <f t="shared" si="4"/>
        <v>0</v>
      </c>
      <c r="M31" s="75">
        <f t="shared" si="5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6"/>
        <v>0</v>
      </c>
      <c r="Q31" s="74">
        <f t="shared" si="7"/>
        <v>0</v>
      </c>
      <c r="R31" s="75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4">
        <f t="shared" si="10"/>
        <v>0</v>
      </c>
      <c r="W31" s="75">
        <f t="shared" si="11"/>
        <v>0</v>
      </c>
      <c r="X31" s="76">
        <f t="shared" si="12"/>
        <v>0</v>
      </c>
      <c r="Y31" s="46">
        <f t="shared" si="13"/>
        <v>0</v>
      </c>
    </row>
    <row r="32" spans="2:25" x14ac:dyDescent="0.25">
      <c r="B32" s="20" t="str">
        <f>+'County Data'!$B$19</f>
        <v>Douglas</v>
      </c>
      <c r="C32" s="15">
        <f>VLOOKUP($B32,'County Data'!$B$10:$P$46,2,FALSE)</f>
        <v>112530</v>
      </c>
      <c r="D32" s="26" t="str">
        <f>VLOOKUP($B32,'County Data'!$B$9:$P$46,12,FALSE)</f>
        <v>Y</v>
      </c>
      <c r="E32" s="74">
        <f>IF(D32="Y",$C$3*Input!$C$29/36*E$4,0)</f>
        <v>0</v>
      </c>
      <c r="F32" s="15">
        <f t="shared" si="0"/>
        <v>112530</v>
      </c>
      <c r="G32" s="74">
        <f t="shared" si="1"/>
        <v>0</v>
      </c>
      <c r="H32" s="75">
        <f t="shared" si="2"/>
        <v>0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3"/>
        <v>0</v>
      </c>
      <c r="L32" s="74">
        <f t="shared" si="4"/>
        <v>0</v>
      </c>
      <c r="M32" s="75">
        <f t="shared" si="5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6"/>
        <v>0</v>
      </c>
      <c r="Q32" s="74">
        <f t="shared" si="7"/>
        <v>0</v>
      </c>
      <c r="R32" s="75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4">
        <f t="shared" si="10"/>
        <v>0</v>
      </c>
      <c r="W32" s="75">
        <f t="shared" si="11"/>
        <v>0</v>
      </c>
      <c r="X32" s="76">
        <f t="shared" si="12"/>
        <v>0</v>
      </c>
      <c r="Y32" s="46">
        <f t="shared" si="13"/>
        <v>0</v>
      </c>
    </row>
    <row r="33" spans="2:25" x14ac:dyDescent="0.25">
      <c r="B33" s="20" t="str">
        <f>+'County Data'!$B$31</f>
        <v>Linn</v>
      </c>
      <c r="C33" s="15">
        <f>VLOOKUP($B33,'County Data'!$B$10:$P$46,2,FALSE)</f>
        <v>127320</v>
      </c>
      <c r="D33" s="26" t="str">
        <f>VLOOKUP($B33,'County Data'!$B$9:$P$46,12,FALSE)</f>
        <v>Y</v>
      </c>
      <c r="E33" s="74">
        <f>IF(D33="Y",$C$3*Input!$C$29/36*E$4,0)</f>
        <v>0</v>
      </c>
      <c r="F33" s="15">
        <f t="shared" si="0"/>
        <v>127320</v>
      </c>
      <c r="G33" s="74">
        <f t="shared" si="1"/>
        <v>0</v>
      </c>
      <c r="H33" s="75">
        <f t="shared" si="2"/>
        <v>0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3"/>
        <v>0</v>
      </c>
      <c r="L33" s="74">
        <f t="shared" si="4"/>
        <v>0</v>
      </c>
      <c r="M33" s="75">
        <f t="shared" si="5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6"/>
        <v>0</v>
      </c>
      <c r="Q33" s="74">
        <f t="shared" si="7"/>
        <v>0</v>
      </c>
      <c r="R33" s="75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4">
        <f t="shared" si="10"/>
        <v>0</v>
      </c>
      <c r="W33" s="75">
        <f t="shared" si="11"/>
        <v>0</v>
      </c>
      <c r="X33" s="76">
        <f t="shared" si="12"/>
        <v>0</v>
      </c>
      <c r="Y33" s="46">
        <f t="shared" si="13"/>
        <v>0</v>
      </c>
    </row>
    <row r="34" spans="2:25" x14ac:dyDescent="0.25">
      <c r="B34" s="20" t="str">
        <f>+'County Data'!$B$18</f>
        <v>Deschutes</v>
      </c>
      <c r="C34" s="15">
        <f>VLOOKUP($B34,'County Data'!$B$10:$P$46,2,FALSE)</f>
        <v>197015</v>
      </c>
      <c r="D34" s="26" t="str">
        <f>VLOOKUP($B34,'County Data'!$B$9:$P$46,12,FALSE)</f>
        <v>Y</v>
      </c>
      <c r="E34" s="74">
        <f>IF(D34="Y",$C$3*Input!$C$29/36*E$4,0)</f>
        <v>0</v>
      </c>
      <c r="F34" s="15">
        <f t="shared" si="0"/>
        <v>197015</v>
      </c>
      <c r="G34" s="74">
        <f t="shared" si="1"/>
        <v>0</v>
      </c>
      <c r="H34" s="75">
        <f t="shared" si="2"/>
        <v>0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3"/>
        <v>0</v>
      </c>
      <c r="L34" s="74">
        <f t="shared" si="4"/>
        <v>0</v>
      </c>
      <c r="M34" s="75">
        <f t="shared" si="5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6"/>
        <v>0</v>
      </c>
      <c r="Q34" s="74">
        <f t="shared" si="7"/>
        <v>0</v>
      </c>
      <c r="R34" s="75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4">
        <f t="shared" si="10"/>
        <v>0</v>
      </c>
      <c r="W34" s="75">
        <f t="shared" si="11"/>
        <v>0</v>
      </c>
      <c r="X34" s="76">
        <f t="shared" si="12"/>
        <v>0</v>
      </c>
      <c r="Y34" s="46">
        <f t="shared" si="13"/>
        <v>0</v>
      </c>
    </row>
    <row r="35" spans="2:25" x14ac:dyDescent="0.25">
      <c r="B35" s="20" t="str">
        <f>+'County Data'!$B$24</f>
        <v>Jackson</v>
      </c>
      <c r="C35" s="15">
        <f>VLOOKUP($B35,'County Data'!$B$10:$P$46,2,FALSE)</f>
        <v>223240</v>
      </c>
      <c r="D35" s="26" t="str">
        <f>VLOOKUP($B35,'County Data'!$B$9:$P$46,12,FALSE)</f>
        <v>Y</v>
      </c>
      <c r="E35" s="74">
        <f>IF(D35="Y",$C$3*Input!$C$29/36*E$4,0)</f>
        <v>0</v>
      </c>
      <c r="F35" s="15">
        <f t="shared" si="0"/>
        <v>223240</v>
      </c>
      <c r="G35" s="74">
        <f t="shared" si="1"/>
        <v>0</v>
      </c>
      <c r="H35" s="75">
        <f t="shared" si="2"/>
        <v>0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3"/>
        <v>0</v>
      </c>
      <c r="L35" s="74">
        <f t="shared" si="4"/>
        <v>0</v>
      </c>
      <c r="M35" s="75">
        <f t="shared" si="5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6"/>
        <v>0</v>
      </c>
      <c r="Q35" s="74">
        <f t="shared" si="7"/>
        <v>0</v>
      </c>
      <c r="R35" s="75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4">
        <f t="shared" si="10"/>
        <v>0</v>
      </c>
      <c r="W35" s="75">
        <f t="shared" si="11"/>
        <v>0</v>
      </c>
      <c r="X35" s="76">
        <f t="shared" si="12"/>
        <v>0</v>
      </c>
      <c r="Y35" s="46">
        <f t="shared" si="13"/>
        <v>0</v>
      </c>
    </row>
    <row r="36" spans="2:25" x14ac:dyDescent="0.25">
      <c r="B36" s="20" t="str">
        <f>+'County Data'!$B$33</f>
        <v>Marion</v>
      </c>
      <c r="C36" s="15">
        <f>VLOOKUP($B36,'County Data'!$B$10:$P$46,2,FALSE)</f>
        <v>349120</v>
      </c>
      <c r="D36" s="26" t="str">
        <f>VLOOKUP($B36,'County Data'!$B$9:$P$46,12,FALSE)</f>
        <v>Y</v>
      </c>
      <c r="E36" s="74">
        <f>IF(D36="Y",$C$3*Input!$C$29/36*E$4,0)</f>
        <v>0</v>
      </c>
      <c r="F36" s="15">
        <f t="shared" si="0"/>
        <v>349120</v>
      </c>
      <c r="G36" s="74">
        <f t="shared" si="1"/>
        <v>0</v>
      </c>
      <c r="H36" s="75">
        <f t="shared" si="2"/>
        <v>0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3"/>
        <v>0</v>
      </c>
      <c r="L36" s="74">
        <f t="shared" si="4"/>
        <v>0</v>
      </c>
      <c r="M36" s="75">
        <f t="shared" si="5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6"/>
        <v>0</v>
      </c>
      <c r="Q36" s="74">
        <f t="shared" si="7"/>
        <v>0</v>
      </c>
      <c r="R36" s="75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4">
        <f t="shared" si="10"/>
        <v>0</v>
      </c>
      <c r="W36" s="75">
        <f t="shared" si="11"/>
        <v>0</v>
      </c>
      <c r="X36" s="76">
        <f t="shared" si="12"/>
        <v>0</v>
      </c>
      <c r="Y36" s="46">
        <f t="shared" si="13"/>
        <v>0</v>
      </c>
    </row>
    <row r="37" spans="2:25" x14ac:dyDescent="0.25">
      <c r="B37" s="20" t="str">
        <f>+'County Data'!$B$29</f>
        <v>Lane</v>
      </c>
      <c r="C37" s="15">
        <f>VLOOKUP($B37,'County Data'!$B$10:$P$46,2,FALSE)</f>
        <v>381365</v>
      </c>
      <c r="D37" s="26" t="str">
        <f>VLOOKUP($B37,'County Data'!$B$9:$P$46,12,FALSE)</f>
        <v>Y</v>
      </c>
      <c r="E37" s="74">
        <f>IF(D37="Y",$C$3*Input!$C$29/36*E$4,0)</f>
        <v>0</v>
      </c>
      <c r="F37" s="15">
        <f t="shared" si="0"/>
        <v>381365</v>
      </c>
      <c r="G37" s="74">
        <f t="shared" si="1"/>
        <v>0</v>
      </c>
      <c r="H37" s="75">
        <f t="shared" si="2"/>
        <v>0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3"/>
        <v>0</v>
      </c>
      <c r="L37" s="74">
        <f t="shared" si="4"/>
        <v>0</v>
      </c>
      <c r="M37" s="75">
        <f t="shared" si="5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6"/>
        <v>0</v>
      </c>
      <c r="Q37" s="74">
        <f t="shared" si="7"/>
        <v>0</v>
      </c>
      <c r="R37" s="75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4">
        <f t="shared" si="10"/>
        <v>0</v>
      </c>
      <c r="W37" s="75">
        <f t="shared" si="11"/>
        <v>0</v>
      </c>
      <c r="X37" s="76">
        <f t="shared" si="12"/>
        <v>0</v>
      </c>
      <c r="Y37" s="46">
        <f t="shared" si="13"/>
        <v>0</v>
      </c>
    </row>
    <row r="38" spans="2:25" x14ac:dyDescent="0.25">
      <c r="B38" s="20" t="str">
        <f>+'County Data'!$B$12</f>
        <v>Clackamas</v>
      </c>
      <c r="C38" s="15">
        <f>VLOOKUP($B38,'County Data'!$B$10:$P$46,2,FALSE)</f>
        <v>426515</v>
      </c>
      <c r="D38" s="26" t="str">
        <f>VLOOKUP($B38,'County Data'!$B$9:$P$46,12,FALSE)</f>
        <v>Y</v>
      </c>
      <c r="E38" s="74">
        <f>IF(D38="Y",$C$3*Input!$C$29/36*E$4,0)</f>
        <v>0</v>
      </c>
      <c r="F38" s="15">
        <f t="shared" si="0"/>
        <v>426515</v>
      </c>
      <c r="G38" s="74">
        <f t="shared" si="1"/>
        <v>0</v>
      </c>
      <c r="H38" s="75">
        <f t="shared" si="2"/>
        <v>0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3"/>
        <v>0</v>
      </c>
      <c r="L38" s="74">
        <f t="shared" si="4"/>
        <v>0</v>
      </c>
      <c r="M38" s="75">
        <f t="shared" si="5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6"/>
        <v>0</v>
      </c>
      <c r="Q38" s="74">
        <f t="shared" si="7"/>
        <v>0</v>
      </c>
      <c r="R38" s="75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4">
        <f t="shared" si="10"/>
        <v>0</v>
      </c>
      <c r="W38" s="75">
        <f t="shared" si="11"/>
        <v>0</v>
      </c>
      <c r="X38" s="76">
        <f t="shared" si="12"/>
        <v>0</v>
      </c>
      <c r="Y38" s="46">
        <f t="shared" si="13"/>
        <v>0</v>
      </c>
    </row>
    <row r="39" spans="2:25" x14ac:dyDescent="0.25">
      <c r="B39" s="20" t="str">
        <f>+'County Data'!$B$44</f>
        <v>Washington</v>
      </c>
      <c r="C39" s="15">
        <f>VLOOKUP($B39,'County Data'!$B$10:$P$46,2,FALSE)</f>
        <v>620080</v>
      </c>
      <c r="D39" s="26" t="str">
        <f>VLOOKUP($B39,'County Data'!$B$9:$P$46,12,FALSE)</f>
        <v>Y</v>
      </c>
      <c r="E39" s="74">
        <f>IF(D39="Y",$C$3*Input!$C$29/36*E$4,0)</f>
        <v>0</v>
      </c>
      <c r="F39" s="15">
        <f t="shared" si="0"/>
        <v>620080</v>
      </c>
      <c r="G39" s="74">
        <f t="shared" si="1"/>
        <v>0</v>
      </c>
      <c r="H39" s="75">
        <f t="shared" si="2"/>
        <v>0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3"/>
        <v>0</v>
      </c>
      <c r="L39" s="74">
        <f t="shared" si="4"/>
        <v>0</v>
      </c>
      <c r="M39" s="75">
        <f t="shared" si="5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6"/>
        <v>0</v>
      </c>
      <c r="Q39" s="74">
        <f t="shared" si="7"/>
        <v>0</v>
      </c>
      <c r="R39" s="75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4">
        <f t="shared" si="10"/>
        <v>0</v>
      </c>
      <c r="W39" s="75">
        <f t="shared" si="11"/>
        <v>0</v>
      </c>
      <c r="X39" s="76">
        <f t="shared" si="12"/>
        <v>0</v>
      </c>
      <c r="Y39" s="46">
        <f t="shared" si="13"/>
        <v>0</v>
      </c>
    </row>
    <row r="40" spans="2:25" x14ac:dyDescent="0.25">
      <c r="B40" s="20" t="str">
        <f>+'County Data'!$B$35</f>
        <v>Multnomah</v>
      </c>
      <c r="C40" s="15">
        <f>VLOOKUP($B40,'County Data'!$B$10:$P$46,2,FALSE)</f>
        <v>829560</v>
      </c>
      <c r="D40" s="26" t="str">
        <f>VLOOKUP($B40,'County Data'!$B$9:$P$46,12,FALSE)</f>
        <v>Y</v>
      </c>
      <c r="E40" s="74">
        <f>IF(D40="Y",$C$3*Input!$C$29/36*E$4,0)</f>
        <v>0</v>
      </c>
      <c r="F40" s="15">
        <f t="shared" si="0"/>
        <v>829560</v>
      </c>
      <c r="G40" s="74">
        <f t="shared" si="1"/>
        <v>0</v>
      </c>
      <c r="H40" s="75">
        <f t="shared" si="2"/>
        <v>0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3"/>
        <v>0</v>
      </c>
      <c r="L40" s="74">
        <f t="shared" si="4"/>
        <v>0</v>
      </c>
      <c r="M40" s="75">
        <f t="shared" si="5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6"/>
        <v>0</v>
      </c>
      <c r="Q40" s="74">
        <f t="shared" si="7"/>
        <v>0</v>
      </c>
      <c r="R40" s="75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4">
        <f t="shared" si="10"/>
        <v>0</v>
      </c>
      <c r="W40" s="75">
        <f t="shared" si="11"/>
        <v>0</v>
      </c>
      <c r="X40" s="76">
        <f t="shared" si="12"/>
        <v>0</v>
      </c>
      <c r="Y40" s="46">
        <f t="shared" si="13"/>
        <v>0</v>
      </c>
    </row>
    <row r="41" spans="2:25" x14ac:dyDescent="0.25">
      <c r="B41" s="4" t="s">
        <v>2</v>
      </c>
      <c r="C41" s="5">
        <f t="shared" ref="C41:H41" si="14">SUM(C7:C40)</f>
        <v>4268055</v>
      </c>
      <c r="D41" s="5">
        <f>COUNTIF(D7:D40,"Y")</f>
        <v>34</v>
      </c>
      <c r="E41" s="73">
        <f t="shared" si="14"/>
        <v>0</v>
      </c>
      <c r="F41" s="5">
        <f t="shared" si="14"/>
        <v>4268055</v>
      </c>
      <c r="G41" s="73">
        <f t="shared" si="14"/>
        <v>0</v>
      </c>
      <c r="H41" s="73">
        <f t="shared" si="14"/>
        <v>0</v>
      </c>
      <c r="I41" s="5">
        <f>COUNTIF(I7:I40,"Y")</f>
        <v>0</v>
      </c>
      <c r="J41" s="73">
        <f t="shared" ref="J41:M41" si="15">SUM(J7:J40)</f>
        <v>0</v>
      </c>
      <c r="K41" s="69">
        <f>SUM(K7:K40)+0.001</f>
        <v>1E-3</v>
      </c>
      <c r="L41" s="73">
        <f t="shared" si="15"/>
        <v>0</v>
      </c>
      <c r="M41" s="73">
        <f t="shared" si="15"/>
        <v>0</v>
      </c>
      <c r="N41" s="5">
        <f>COUNTIF(N7:N40,"Y")</f>
        <v>0</v>
      </c>
      <c r="O41" s="73">
        <f t="shared" ref="O41" si="16">SUM(O7:O40)</f>
        <v>0</v>
      </c>
      <c r="P41" s="69">
        <f>SUM(P7:P40)+0.001</f>
        <v>1E-3</v>
      </c>
      <c r="Q41" s="73">
        <f t="shared" ref="Q41:R41" si="17">SUM(Q7:Q40)</f>
        <v>0</v>
      </c>
      <c r="R41" s="73">
        <f t="shared" si="17"/>
        <v>0</v>
      </c>
      <c r="S41" s="5">
        <f>COUNTIF(S7:S40,"Y")</f>
        <v>0</v>
      </c>
      <c r="T41" s="73">
        <f t="shared" ref="T41" si="18">SUM(T7:T40)</f>
        <v>0</v>
      </c>
      <c r="U41" s="69">
        <f>SUM(U7:U40)+0.001</f>
        <v>1E-3</v>
      </c>
      <c r="V41" s="73">
        <f t="shared" ref="V41:X41" si="19">SUM(V7:V40)</f>
        <v>0</v>
      </c>
      <c r="W41" s="73">
        <f t="shared" si="19"/>
        <v>0</v>
      </c>
      <c r="X41" s="73">
        <f t="shared" si="19"/>
        <v>0</v>
      </c>
      <c r="Y41" s="72">
        <f t="shared" si="13"/>
        <v>0</v>
      </c>
    </row>
    <row r="42" spans="2:25" x14ac:dyDescent="0.2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0"/>
  <sheetViews>
    <sheetView showGridLines="0" tabSelected="1" zoomScale="80" zoomScaleNormal="80" workbookViewId="0">
      <selection activeCell="B5" sqref="B5"/>
    </sheetView>
  </sheetViews>
  <sheetFormatPr defaultRowHeight="15" x14ac:dyDescent="0.25"/>
  <cols>
    <col min="1" max="1" width="3" bestFit="1" customWidth="1"/>
    <col min="2" max="2" width="22" customWidth="1"/>
    <col min="3" max="6" width="14.28515625" customWidth="1"/>
    <col min="7" max="7" width="16.5703125" bestFit="1" customWidth="1"/>
    <col min="8" max="10" width="14.28515625" customWidth="1"/>
    <col min="11" max="11" width="16.42578125" bestFit="1" customWidth="1"/>
    <col min="12" max="13" width="14.28515625" customWidth="1"/>
    <col min="14" max="14" width="13.42578125" bestFit="1" customWidth="1"/>
    <col min="15" max="15" width="11.5703125" bestFit="1" customWidth="1"/>
    <col min="16" max="16" width="11" customWidth="1"/>
    <col min="17" max="17" width="10.140625" bestFit="1" customWidth="1"/>
    <col min="18" max="18" width="11.85546875" customWidth="1"/>
    <col min="20" max="20" width="9.140625" customWidth="1"/>
  </cols>
  <sheetData>
    <row r="1" spans="2:21" ht="18.75" x14ac:dyDescent="0.3">
      <c r="B1" s="24" t="s">
        <v>133</v>
      </c>
      <c r="C1" s="24"/>
    </row>
    <row r="2" spans="2:21" ht="18.75" x14ac:dyDescent="0.25">
      <c r="B2" s="204" t="s">
        <v>149</v>
      </c>
      <c r="C2" s="23"/>
    </row>
    <row r="3" spans="2:21" ht="18.75" x14ac:dyDescent="0.25">
      <c r="B3" s="205" t="s">
        <v>150</v>
      </c>
      <c r="C3" s="207"/>
    </row>
    <row r="4" spans="2:21" ht="18.75" x14ac:dyDescent="0.25">
      <c r="B4" s="206" t="s">
        <v>151</v>
      </c>
      <c r="C4" s="23"/>
    </row>
    <row r="5" spans="2:21" ht="15.75" x14ac:dyDescent="0.25">
      <c r="B5" s="23"/>
      <c r="C5" s="23"/>
    </row>
    <row r="6" spans="2:21" ht="18.75" x14ac:dyDescent="0.3">
      <c r="B6" s="206"/>
      <c r="C6" s="184"/>
      <c r="D6" s="181"/>
      <c r="E6" s="181"/>
      <c r="F6" s="181"/>
      <c r="G6" s="208"/>
      <c r="H6" s="181"/>
      <c r="I6" s="181"/>
      <c r="J6" s="181"/>
      <c r="K6" s="181"/>
      <c r="L6" s="181"/>
      <c r="M6" s="181"/>
      <c r="N6" s="181"/>
      <c r="O6" s="181"/>
      <c r="P6" s="181"/>
    </row>
    <row r="7" spans="2:21" ht="16.5" thickBot="1" x14ac:dyDescent="0.3">
      <c r="B7" s="23"/>
      <c r="C7" s="23"/>
    </row>
    <row r="8" spans="2:21" ht="34.5" customHeight="1" thickTop="1" x14ac:dyDescent="0.25">
      <c r="B8" s="91"/>
      <c r="C8" s="92"/>
      <c r="D8" s="210" t="s">
        <v>115</v>
      </c>
      <c r="E8" s="211"/>
      <c r="F8" s="211"/>
      <c r="G8" s="211"/>
      <c r="H8" s="211"/>
      <c r="I8" s="211"/>
      <c r="J8" s="211"/>
      <c r="K8" s="212"/>
      <c r="L8" s="213" t="s">
        <v>116</v>
      </c>
      <c r="M8" s="214"/>
      <c r="N8" s="210" t="s">
        <v>117</v>
      </c>
      <c r="O8" s="211"/>
      <c r="P8" s="211"/>
      <c r="Q8" s="212"/>
      <c r="R8" s="93"/>
    </row>
    <row r="9" spans="2:21" s="2" customFormat="1" ht="32.25" x14ac:dyDescent="0.25">
      <c r="B9" s="94" t="s">
        <v>7</v>
      </c>
      <c r="C9" s="95" t="s">
        <v>128</v>
      </c>
      <c r="D9" s="130" t="s">
        <v>20</v>
      </c>
      <c r="E9" s="95" t="s">
        <v>16</v>
      </c>
      <c r="F9" s="95" t="s">
        <v>17</v>
      </c>
      <c r="G9" s="95" t="s">
        <v>129</v>
      </c>
      <c r="H9" s="95" t="s">
        <v>130</v>
      </c>
      <c r="I9" s="95" t="s">
        <v>120</v>
      </c>
      <c r="J9" s="95" t="s">
        <v>131</v>
      </c>
      <c r="K9" s="131" t="s">
        <v>132</v>
      </c>
      <c r="L9" s="167" t="s">
        <v>118</v>
      </c>
      <c r="M9" s="168" t="s">
        <v>119</v>
      </c>
      <c r="N9" s="144" t="s">
        <v>39</v>
      </c>
      <c r="O9" s="96" t="s">
        <v>5</v>
      </c>
      <c r="P9" s="96" t="s">
        <v>15</v>
      </c>
      <c r="Q9" s="145" t="s">
        <v>12</v>
      </c>
      <c r="R9" s="97" t="s">
        <v>37</v>
      </c>
    </row>
    <row r="10" spans="2:21" x14ac:dyDescent="0.25">
      <c r="B10" s="98" t="s">
        <v>81</v>
      </c>
      <c r="C10" s="99">
        <f>VLOOKUP($B10,'County Data'!$B$10:$C$46,2,FALSE)</f>
        <v>1440</v>
      </c>
      <c r="D10" s="132">
        <f>VLOOKUP($B10,Floor!$B$6:$M$45,4,FALSE)</f>
        <v>30000</v>
      </c>
      <c r="E10" s="100">
        <f>VLOOKUP($B10,Burden!$B$6:$H$40,6,FALSE)</f>
        <v>349.54534704842428</v>
      </c>
      <c r="F10" s="100">
        <f>VLOOKUP($B10,'Health Status'!$B$6:$H$40,6,FALSE)</f>
        <v>685.49498473615336</v>
      </c>
      <c r="G10" s="100">
        <f>VLOOKUP($B10,Ethnicity!$B$6:$H$40,6,FALSE)</f>
        <v>136.62738430213867</v>
      </c>
      <c r="H10" s="100">
        <f>VLOOKUP($B10,Poverty!$B$6:$H$40,6,FALSE)</f>
        <v>250.83990737163211</v>
      </c>
      <c r="I10" s="100">
        <f>VLOOKUP($B10,Rurality!$B$6:$H$40,6,FALSE)</f>
        <v>1857.2735443672166</v>
      </c>
      <c r="J10" s="100">
        <f>VLOOKUP($B10,Education!$B$6:$H$40,6,FALSE)</f>
        <v>141.75074616145469</v>
      </c>
      <c r="K10" s="133">
        <f>VLOOKUP($B10,Language!$B$6:$H$40,6,FALSE)</f>
        <v>4.3367028231890679</v>
      </c>
      <c r="L10" s="169">
        <f>VLOOKUP($B10,Matching!$B$7:$L$40,10,FALSE)</f>
        <v>0</v>
      </c>
      <c r="M10" s="170">
        <f>VLOOKUP($B10,Incentives!$B$7:$Y$40,23,FALSE)</f>
        <v>0</v>
      </c>
      <c r="N10" s="146">
        <f t="shared" ref="N10:N43" si="0">SUM(D10:M10)</f>
        <v>33425.868616810199</v>
      </c>
      <c r="O10" s="101">
        <f t="shared" ref="O10:O43" si="1">N10/$N$44</f>
        <v>4.1782335771012756E-3</v>
      </c>
      <c r="P10" s="101">
        <f t="shared" ref="P10:P43" si="2">C10/$C$44</f>
        <v>3.373902163866211E-4</v>
      </c>
      <c r="Q10" s="147">
        <f t="shared" ref="Q10:Q44" si="3">N10/C10</f>
        <v>23.21240876167375</v>
      </c>
      <c r="R10" s="102"/>
      <c r="T10" s="22"/>
      <c r="U10" s="22"/>
    </row>
    <row r="11" spans="2:21" x14ac:dyDescent="0.25">
      <c r="B11" s="98" t="s">
        <v>79</v>
      </c>
      <c r="C11" s="99">
        <f>VLOOKUP($B11,'County Data'!$B$10:$C$46,2,FALSE)</f>
        <v>7160</v>
      </c>
      <c r="D11" s="132">
        <f>VLOOKUP($B11,Floor!$B$6:$M$45,4,FALSE)</f>
        <v>30000</v>
      </c>
      <c r="E11" s="100">
        <f>VLOOKUP($B11,Burden!$B$6:$H$40,6,FALSE)</f>
        <v>1811.1092169502538</v>
      </c>
      <c r="F11" s="100">
        <f>VLOOKUP($B11,'Health Status'!$B$6:$H$40,6,FALSE)</f>
        <v>1520.5286708165295</v>
      </c>
      <c r="G11" s="100">
        <f>VLOOKUP($B11,Ethnicity!$B$6:$H$40,6,FALSE)</f>
        <v>543.74363273700828</v>
      </c>
      <c r="H11" s="100">
        <f>VLOOKUP($B11,Poverty!$B$6:$H$40,6,FALSE)</f>
        <v>923.15393126267293</v>
      </c>
      <c r="I11" s="100">
        <f>VLOOKUP($B11,Rurality!$B$6:$H$40,6,FALSE)</f>
        <v>9234.7767900481049</v>
      </c>
      <c r="J11" s="100">
        <f>VLOOKUP($B11,Education!$B$6:$H$40,6,FALSE)</f>
        <v>667.34995891321353</v>
      </c>
      <c r="K11" s="133">
        <f>VLOOKUP($B11,Language!$B$6:$H$40,6,FALSE)</f>
        <v>319.54361796497273</v>
      </c>
      <c r="L11" s="169">
        <f>VLOOKUP($B11,Matching!$B$7:$L$40,10,FALSE)</f>
        <v>0</v>
      </c>
      <c r="M11" s="170">
        <f>VLOOKUP($B11,Incentives!$B$7:$Y$40,23,FALSE)</f>
        <v>0</v>
      </c>
      <c r="N11" s="146">
        <f t="shared" si="0"/>
        <v>45020.205818692753</v>
      </c>
      <c r="O11" s="101">
        <f t="shared" si="1"/>
        <v>5.627525727336595E-3</v>
      </c>
      <c r="P11" s="101">
        <f t="shared" si="2"/>
        <v>1.6775791314779214E-3</v>
      </c>
      <c r="Q11" s="147">
        <f t="shared" si="3"/>
        <v>6.287738242834183</v>
      </c>
      <c r="R11" s="102"/>
      <c r="T11" s="22"/>
      <c r="U11" s="22"/>
    </row>
    <row r="12" spans="2:21" x14ac:dyDescent="0.25">
      <c r="B12" s="98" t="s">
        <v>61</v>
      </c>
      <c r="C12" s="99">
        <f>VLOOKUP($B12,'County Data'!$B$10:$C$46,2,FALSE)</f>
        <v>7280</v>
      </c>
      <c r="D12" s="132">
        <f>VLOOKUP($B12,Floor!$B$6:$M$45,4,FALSE)</f>
        <v>30000</v>
      </c>
      <c r="E12" s="100">
        <f>VLOOKUP($B12,Burden!$B$6:$H$40,6,FALSE)</f>
        <v>2592.3506241406176</v>
      </c>
      <c r="F12" s="100">
        <f>VLOOKUP($B12,'Health Status'!$B$6:$H$40,6,FALSE)</f>
        <v>1265.8624950999297</v>
      </c>
      <c r="G12" s="100">
        <f>VLOOKUP($B12,Ethnicity!$B$6:$H$40,6,FALSE)</f>
        <v>1017.3976266921622</v>
      </c>
      <c r="H12" s="100">
        <f>VLOOKUP($B12,Poverty!$B$6:$H$40,6,FALSE)</f>
        <v>1034.4033621708122</v>
      </c>
      <c r="I12" s="100">
        <f>VLOOKUP($B12,Rurality!$B$6:$H$40,6,FALSE)</f>
        <v>4159.5704663375336</v>
      </c>
      <c r="J12" s="100">
        <f>VLOOKUP($B12,Education!$B$6:$H$40,6,FALSE)</f>
        <v>924.22751506059944</v>
      </c>
      <c r="K12" s="133">
        <f>VLOOKUP($B12,Language!$B$6:$H$40,6,FALSE)</f>
        <v>451.63838968577488</v>
      </c>
      <c r="L12" s="169">
        <f>VLOOKUP($B12,Matching!$B$7:$L$40,10,FALSE)</f>
        <v>0</v>
      </c>
      <c r="M12" s="170">
        <f>VLOOKUP($B12,Incentives!$B$7:$Y$40,23,FALSE)</f>
        <v>0</v>
      </c>
      <c r="N12" s="146">
        <f t="shared" si="0"/>
        <v>41445.450479187435</v>
      </c>
      <c r="O12" s="101">
        <f t="shared" si="1"/>
        <v>5.1806813098984302E-3</v>
      </c>
      <c r="P12" s="101">
        <f t="shared" si="2"/>
        <v>1.7056949828434733E-3</v>
      </c>
      <c r="Q12" s="147">
        <f t="shared" si="3"/>
        <v>5.6930563845037687</v>
      </c>
      <c r="R12" s="102"/>
      <c r="T12" s="22"/>
      <c r="U12" s="22"/>
    </row>
    <row r="13" spans="2:21" x14ac:dyDescent="0.25">
      <c r="B13" s="98" t="s">
        <v>60</v>
      </c>
      <c r="C13" s="99">
        <f>VLOOKUP($B13,'County Data'!$B$10:$C$46,2,FALSE)</f>
        <v>7315</v>
      </c>
      <c r="D13" s="132">
        <f>VLOOKUP($B13,Floor!$B$6:$M$45,4,FALSE)</f>
        <v>30000</v>
      </c>
      <c r="E13" s="100">
        <f>VLOOKUP($B13,Burden!$B$6:$H$40,6,FALSE)</f>
        <v>2157.0585250331187</v>
      </c>
      <c r="F13" s="100">
        <f>VLOOKUP($B13,'Health Status'!$B$6:$H$40,6,FALSE)</f>
        <v>1615.9999814297848</v>
      </c>
      <c r="G13" s="100">
        <f>VLOOKUP($B13,Ethnicity!$B$6:$H$40,6,FALSE)</f>
        <v>598.11396438630516</v>
      </c>
      <c r="H13" s="100">
        <f>VLOOKUP($B13,Poverty!$B$6:$H$40,6,FALSE)</f>
        <v>1037.8340930046713</v>
      </c>
      <c r="I13" s="100">
        <f>VLOOKUP($B13,Rurality!$B$6:$H$40,6,FALSE)</f>
        <v>9434.6916507265196</v>
      </c>
      <c r="J13" s="100">
        <f>VLOOKUP($B13,Education!$B$6:$H$40,6,FALSE)</f>
        <v>1020.4171445157423</v>
      </c>
      <c r="K13" s="133">
        <f>VLOOKUP($B13,Language!$B$6:$H$40,6,FALSE)</f>
        <v>187.63286834809813</v>
      </c>
      <c r="L13" s="169">
        <f>VLOOKUP($B13,Matching!$B$7:$L$40,10,FALSE)</f>
        <v>0</v>
      </c>
      <c r="M13" s="170">
        <f>VLOOKUP($B13,Incentives!$B$7:$Y$40,23,FALSE)</f>
        <v>0</v>
      </c>
      <c r="N13" s="146">
        <f t="shared" si="0"/>
        <v>46051.748227444237</v>
      </c>
      <c r="O13" s="101">
        <f t="shared" si="1"/>
        <v>5.7564685284305301E-3</v>
      </c>
      <c r="P13" s="101">
        <f t="shared" si="2"/>
        <v>1.7138954394917592E-3</v>
      </c>
      <c r="Q13" s="147">
        <f t="shared" si="3"/>
        <v>6.2955226558365327</v>
      </c>
      <c r="R13" s="102"/>
      <c r="T13" s="22"/>
      <c r="U13" s="22"/>
    </row>
    <row r="14" spans="2:21" x14ac:dyDescent="0.25">
      <c r="B14" s="98" t="s">
        <v>67</v>
      </c>
      <c r="C14" s="99">
        <f>VLOOKUP($B14,'County Data'!$B$10:$C$46,2,FALSE)</f>
        <v>8075</v>
      </c>
      <c r="D14" s="132">
        <f>VLOOKUP($B14,Floor!$B$6:$M$45,4,FALSE)</f>
        <v>30000</v>
      </c>
      <c r="E14" s="100">
        <f>VLOOKUP($B14,Burden!$B$6:$H$40,6,FALSE)</f>
        <v>2793.7356543274723</v>
      </c>
      <c r="F14" s="100">
        <f>VLOOKUP($B14,'Health Status'!$B$6:$H$40,6,FALSE)</f>
        <v>2060.1122511482345</v>
      </c>
      <c r="G14" s="100">
        <f>VLOOKUP($B14,Ethnicity!$B$6:$H$40,6,FALSE)</f>
        <v>1111.244292390264</v>
      </c>
      <c r="H14" s="100">
        <f>VLOOKUP($B14,Poverty!$B$6:$H$40,6,FALSE)</f>
        <v>1357.4507028251355</v>
      </c>
      <c r="I14" s="100">
        <f>VLOOKUP($B14,Rurality!$B$6:$H$40,6,FALSE)</f>
        <v>6592.6439515239017</v>
      </c>
      <c r="J14" s="100">
        <f>VLOOKUP($B14,Education!$B$6:$H$40,6,FALSE)</f>
        <v>1314.6700150007077</v>
      </c>
      <c r="K14" s="133">
        <f>VLOOKUP($B14,Language!$B$6:$H$40,6,FALSE)</f>
        <v>590.83818556424524</v>
      </c>
      <c r="L14" s="169">
        <f>VLOOKUP($B14,Matching!$B$7:$L$40,10,FALSE)</f>
        <v>0</v>
      </c>
      <c r="M14" s="170">
        <f>VLOOKUP($B14,Incentives!$B$7:$Y$40,23,FALSE)</f>
        <v>0</v>
      </c>
      <c r="N14" s="146">
        <f t="shared" si="0"/>
        <v>45820.695052779956</v>
      </c>
      <c r="O14" s="101">
        <f t="shared" si="1"/>
        <v>5.7275868815974953E-3</v>
      </c>
      <c r="P14" s="101">
        <f t="shared" si="2"/>
        <v>1.8919624981402535E-3</v>
      </c>
      <c r="Q14" s="147">
        <f t="shared" si="3"/>
        <v>5.6743894802204284</v>
      </c>
      <c r="R14" s="102"/>
      <c r="T14" s="22"/>
      <c r="U14" s="22"/>
    </row>
    <row r="15" spans="2:21" x14ac:dyDescent="0.25">
      <c r="B15" s="98" t="s">
        <v>73</v>
      </c>
      <c r="C15" s="99">
        <f>VLOOKUP($B15,'County Data'!$B$10:$C$46,2,FALSE)</f>
        <v>12825</v>
      </c>
      <c r="D15" s="132">
        <f>VLOOKUP($B15,Floor!$B$6:$M$45,4,FALSE)</f>
        <v>30000</v>
      </c>
      <c r="E15" s="100">
        <f>VLOOKUP($B15,Burden!$B$6:$H$40,6,FALSE)</f>
        <v>3174.795966258303</v>
      </c>
      <c r="F15" s="100">
        <f>VLOOKUP($B15,'Health Status'!$B$6:$H$40,6,FALSE)</f>
        <v>5703.0514635796007</v>
      </c>
      <c r="G15" s="100">
        <f>VLOOKUP($B15,Ethnicity!$B$6:$H$40,6,FALSE)</f>
        <v>2248.7478211938078</v>
      </c>
      <c r="H15" s="100">
        <f>VLOOKUP($B15,Poverty!$B$6:$H$40,6,FALSE)</f>
        <v>1939.931110429324</v>
      </c>
      <c r="I15" s="100">
        <f>VLOOKUP($B15,Rurality!$B$6:$H$40,6,FALSE)</f>
        <v>7592.4762095749202</v>
      </c>
      <c r="J15" s="100">
        <f>VLOOKUP($B15,Education!$B$6:$H$40,6,FALSE)</f>
        <v>3933.79291175256</v>
      </c>
      <c r="K15" s="133">
        <f>VLOOKUP($B15,Language!$B$6:$H$40,6,FALSE)</f>
        <v>8008.1446827479813</v>
      </c>
      <c r="L15" s="169">
        <f>VLOOKUP($B15,Matching!$B$7:$L$40,10,FALSE)</f>
        <v>0</v>
      </c>
      <c r="M15" s="170">
        <f>VLOOKUP($B15,Incentives!$B$7:$Y$40,23,FALSE)</f>
        <v>0</v>
      </c>
      <c r="N15" s="146">
        <f t="shared" si="0"/>
        <v>62600.940165536493</v>
      </c>
      <c r="O15" s="101">
        <f t="shared" si="1"/>
        <v>7.8251175206920619E-3</v>
      </c>
      <c r="P15" s="101">
        <f t="shared" si="2"/>
        <v>3.004881614693344E-3</v>
      </c>
      <c r="Q15" s="147">
        <f t="shared" si="3"/>
        <v>4.8811649251880302</v>
      </c>
      <c r="R15" s="102"/>
      <c r="T15" s="22"/>
      <c r="U15" s="22"/>
    </row>
    <row r="16" spans="2:21" x14ac:dyDescent="0.25">
      <c r="B16" s="98" t="s">
        <v>50</v>
      </c>
      <c r="C16" s="99">
        <f>VLOOKUP($B16,'County Data'!$B$10:$C$46,2,FALSE)</f>
        <v>16910</v>
      </c>
      <c r="D16" s="132">
        <f>VLOOKUP($B16,Floor!$B$6:$M$45,4,FALSE)</f>
        <v>30000</v>
      </c>
      <c r="E16" s="100">
        <f>VLOOKUP($B16,Burden!$B$6:$H$40,6,FALSE)</f>
        <v>5424.1148019770762</v>
      </c>
      <c r="F16" s="100">
        <f>VLOOKUP($B16,'Health Status'!$B$6:$H$40,6,FALSE)</f>
        <v>4555.1295664231939</v>
      </c>
      <c r="G16" s="100">
        <f>VLOOKUP($B16,Ethnicity!$B$6:$H$40,6,FALSE)</f>
        <v>1836.3869331112019</v>
      </c>
      <c r="H16" s="100">
        <f>VLOOKUP($B16,Poverty!$B$6:$H$40,6,FALSE)</f>
        <v>2322.2985093095667</v>
      </c>
      <c r="I16" s="100">
        <f>VLOOKUP($B16,Rurality!$B$6:$H$40,6,FALSE)</f>
        <v>8942.1272294807968</v>
      </c>
      <c r="J16" s="100">
        <f>VLOOKUP($B16,Education!$B$6:$H$40,6,FALSE)</f>
        <v>2182.513318713367</v>
      </c>
      <c r="K16" s="133">
        <f>VLOOKUP($B16,Language!$B$6:$H$40,6,FALSE)</f>
        <v>947.49056941861306</v>
      </c>
      <c r="L16" s="169">
        <f>VLOOKUP($B16,Matching!$B$7:$L$40,10,FALSE)</f>
        <v>0</v>
      </c>
      <c r="M16" s="170">
        <f>VLOOKUP($B16,Incentives!$B$7:$Y$40,23,FALSE)</f>
        <v>0</v>
      </c>
      <c r="N16" s="146">
        <f t="shared" si="0"/>
        <v>56210.060928433821</v>
      </c>
      <c r="O16" s="101">
        <f t="shared" si="1"/>
        <v>7.0262576160542286E-3</v>
      </c>
      <c r="P16" s="101">
        <f t="shared" si="2"/>
        <v>3.9619920549290016E-3</v>
      </c>
      <c r="Q16" s="147">
        <f t="shared" si="3"/>
        <v>3.3240722015632063</v>
      </c>
      <c r="R16" s="103">
        <f>SUM(N10:N16)/SUM(C10:C16)</f>
        <v>5.4188176262418635</v>
      </c>
      <c r="T16" s="22"/>
      <c r="U16" s="22"/>
    </row>
    <row r="17" spans="1:21" x14ac:dyDescent="0.25">
      <c r="B17" s="104" t="s">
        <v>56</v>
      </c>
      <c r="C17" s="105">
        <f>VLOOKUP($B17,'County Data'!$B$10:$C$46,2,FALSE)</f>
        <v>23440</v>
      </c>
      <c r="D17" s="134">
        <f>VLOOKUP($B17,Floor!$B$6:$M$45,4,FALSE)</f>
        <v>45000</v>
      </c>
      <c r="E17" s="106">
        <f>VLOOKUP($B17,Burden!$B$6:$H$40,6,FALSE)</f>
        <v>7289.1536019711702</v>
      </c>
      <c r="F17" s="106">
        <f>VLOOKUP($B17,'Health Status'!$B$6:$H$40,6,FALSE)</f>
        <v>7683.8834034213878</v>
      </c>
      <c r="G17" s="106">
        <f>VLOOKUP($B17,Ethnicity!$B$6:$H$40,6,FALSE)</f>
        <v>2600.8177222716763</v>
      </c>
      <c r="H17" s="106">
        <f>VLOOKUP($B17,Poverty!$B$6:$H$40,6,FALSE)</f>
        <v>3246.9748728244708</v>
      </c>
      <c r="I17" s="106">
        <f>VLOOKUP($B17,Rurality!$B$6:$H$40,6,FALSE)</f>
        <v>14511.497293322516</v>
      </c>
      <c r="J17" s="106">
        <f>VLOOKUP($B17,Education!$B$6:$H$40,6,FALSE)</f>
        <v>3622.1662877040208</v>
      </c>
      <c r="K17" s="135">
        <f>VLOOKUP($B17,Language!$B$6:$H$40,6,FALSE)</f>
        <v>1231.857464617786</v>
      </c>
      <c r="L17" s="171">
        <f>VLOOKUP($B17,Matching!$B$7:$L$40,10,FALSE)</f>
        <v>0</v>
      </c>
      <c r="M17" s="172">
        <f>VLOOKUP($B17,Incentives!$B$7:$Y$40,23,FALSE)</f>
        <v>0</v>
      </c>
      <c r="N17" s="148">
        <f t="shared" si="0"/>
        <v>85186.35064613304</v>
      </c>
      <c r="O17" s="107">
        <f t="shared" si="1"/>
        <v>1.064829383076663E-2</v>
      </c>
      <c r="P17" s="107">
        <f t="shared" si="2"/>
        <v>5.4919629667377762E-3</v>
      </c>
      <c r="Q17" s="149">
        <f t="shared" si="3"/>
        <v>3.6342299763708636</v>
      </c>
      <c r="R17" s="102"/>
      <c r="T17" s="22"/>
      <c r="U17" s="22"/>
    </row>
    <row r="18" spans="1:21" x14ac:dyDescent="0.25">
      <c r="A18" s="40"/>
      <c r="B18" s="104" t="s">
        <v>57</v>
      </c>
      <c r="C18" s="105">
        <f>VLOOKUP($B18,'County Data'!$B$10:$C$46,2,FALSE)</f>
        <v>23005</v>
      </c>
      <c r="D18" s="134">
        <f>VLOOKUP($B18,Floor!$B$6:$M$45,4,FALSE)</f>
        <v>45000</v>
      </c>
      <c r="E18" s="106">
        <f>VLOOKUP($B18,Burden!$B$6:$H$40,6,FALSE)</f>
        <v>8463.1809555566088</v>
      </c>
      <c r="F18" s="106">
        <f>VLOOKUP($B18,'Health Status'!$B$6:$H$40,6,FALSE)</f>
        <v>6688.7925675034585</v>
      </c>
      <c r="G18" s="106">
        <f>VLOOKUP($B18,Ethnicity!$B$6:$H$40,6,FALSE)</f>
        <v>3279.7382962042102</v>
      </c>
      <c r="H18" s="106">
        <f>VLOOKUP($B18,Poverty!$B$6:$H$40,6,FALSE)</f>
        <v>2855.7505824365321</v>
      </c>
      <c r="I18" s="106">
        <f>VLOOKUP($B18,Rurality!$B$6:$H$40,6,FALSE)</f>
        <v>11482.7678074451</v>
      </c>
      <c r="J18" s="106">
        <f>VLOOKUP($B18,Education!$B$6:$H$40,6,FALSE)</f>
        <v>3128.7113450515462</v>
      </c>
      <c r="K18" s="135">
        <f>VLOOKUP($B18,Language!$B$6:$H$40,6,FALSE)</f>
        <v>1232.7413653486685</v>
      </c>
      <c r="L18" s="171">
        <f>VLOOKUP($B18,Matching!$B$7:$L$40,10,FALSE)</f>
        <v>0</v>
      </c>
      <c r="M18" s="172">
        <f>VLOOKUP($B18,Incentives!$B$7:$Y$40,23,FALSE)</f>
        <v>0</v>
      </c>
      <c r="N18" s="148">
        <f t="shared" si="0"/>
        <v>82131.682919546118</v>
      </c>
      <c r="O18" s="107">
        <f t="shared" si="1"/>
        <v>1.0266460364943266E-2</v>
      </c>
      <c r="P18" s="107">
        <f t="shared" si="2"/>
        <v>5.3900430055376508E-3</v>
      </c>
      <c r="Q18" s="149">
        <f t="shared" si="3"/>
        <v>3.5701666124558189</v>
      </c>
      <c r="R18" s="102"/>
      <c r="T18" s="22"/>
      <c r="U18" s="22"/>
    </row>
    <row r="19" spans="1:21" x14ac:dyDescent="0.25">
      <c r="A19" s="40"/>
      <c r="B19" s="104" t="s">
        <v>64</v>
      </c>
      <c r="C19" s="105">
        <f>VLOOKUP($B19,'County Data'!$B$10:$C$46,2,FALSE)</f>
        <v>24105</v>
      </c>
      <c r="D19" s="134">
        <f>VLOOKUP($B19,Floor!$B$6:$M$45,4,FALSE)</f>
        <v>45000</v>
      </c>
      <c r="E19" s="106">
        <f>VLOOKUP($B19,Burden!$B$6:$H$40,6,FALSE)</f>
        <v>7702.4947942637427</v>
      </c>
      <c r="F19" s="106">
        <f>VLOOKUP($B19,'Health Status'!$B$6:$H$40,6,FALSE)</f>
        <v>4706.7705322020593</v>
      </c>
      <c r="G19" s="106">
        <f>VLOOKUP($B19,Ethnicity!$B$6:$H$40,6,FALSE)</f>
        <v>10721.367359571308</v>
      </c>
      <c r="H19" s="106">
        <f>VLOOKUP($B19,Poverty!$B$6:$H$40,6,FALSE)</f>
        <v>3766.9001168671975</v>
      </c>
      <c r="I19" s="106">
        <f>VLOOKUP($B19,Rurality!$B$6:$H$40,6,FALSE)</f>
        <v>19617.780704568875</v>
      </c>
      <c r="J19" s="106">
        <f>VLOOKUP($B19,Education!$B$6:$H$40,6,FALSE)</f>
        <v>4194.0167356497832</v>
      </c>
      <c r="K19" s="135">
        <f>VLOOKUP($B19,Language!$B$6:$H$40,6,FALSE)</f>
        <v>4877.1293005789239</v>
      </c>
      <c r="L19" s="171">
        <f>VLOOKUP($B19,Matching!$B$7:$L$40,10,FALSE)</f>
        <v>0</v>
      </c>
      <c r="M19" s="172">
        <f>VLOOKUP($B19,Incentives!$B$7:$Y$40,23,FALSE)</f>
        <v>0</v>
      </c>
      <c r="N19" s="148">
        <f t="shared" si="0"/>
        <v>100586.45954370189</v>
      </c>
      <c r="O19" s="107">
        <f t="shared" si="1"/>
        <v>1.2573307442962737E-2</v>
      </c>
      <c r="P19" s="107">
        <f t="shared" si="2"/>
        <v>5.6477716430552091E-3</v>
      </c>
      <c r="Q19" s="149">
        <f t="shared" si="3"/>
        <v>4.1728462785190574</v>
      </c>
      <c r="R19" s="102"/>
      <c r="T19" s="22"/>
      <c r="U19" s="22"/>
    </row>
    <row r="20" spans="1:21" x14ac:dyDescent="0.25">
      <c r="B20" s="104" t="s">
        <v>62</v>
      </c>
      <c r="C20" s="105">
        <f>VLOOKUP($B20,'County Data'!$B$10:$C$46,2,FALSE)</f>
        <v>25640</v>
      </c>
      <c r="D20" s="134">
        <f>VLOOKUP($B20,Floor!$B$6:$M$45,4,FALSE)</f>
        <v>45000</v>
      </c>
      <c r="E20" s="106">
        <f>VLOOKUP($B20,Burden!$B$6:$H$40,6,FALSE)</f>
        <v>4527.8052059193878</v>
      </c>
      <c r="F20" s="106">
        <f>VLOOKUP($B20,'Health Status'!$B$6:$H$40,6,FALSE)</f>
        <v>5993.1782082005484</v>
      </c>
      <c r="G20" s="106">
        <f>VLOOKUP($B20,Ethnicity!$B$6:$H$40,6,FALSE)</f>
        <v>5283.2044975896497</v>
      </c>
      <c r="H20" s="106">
        <f>VLOOKUP($B20,Poverty!$B$6:$H$40,6,FALSE)</f>
        <v>2734.1325168069166</v>
      </c>
      <c r="I20" s="106">
        <f>VLOOKUP($B20,Rurality!$B$6:$H$40,6,FALSE)</f>
        <v>17262.428958121094</v>
      </c>
      <c r="J20" s="106">
        <f>VLOOKUP($B20,Education!$B$6:$H$40,6,FALSE)</f>
        <v>6034.8477647157961</v>
      </c>
      <c r="K20" s="135">
        <f>VLOOKUP($B20,Language!$B$6:$H$40,6,FALSE)</f>
        <v>16197.328480677281</v>
      </c>
      <c r="L20" s="171">
        <f>VLOOKUP($B20,Matching!$B$7:$L$40,10,FALSE)</f>
        <v>0</v>
      </c>
      <c r="M20" s="172">
        <f>VLOOKUP($B20,Incentives!$B$7:$Y$40,23,FALSE)</f>
        <v>0</v>
      </c>
      <c r="N20" s="148">
        <f t="shared" si="0"/>
        <v>103032.92563203069</v>
      </c>
      <c r="O20" s="107">
        <f t="shared" si="1"/>
        <v>1.2879115704003838E-2</v>
      </c>
      <c r="P20" s="107">
        <f t="shared" si="2"/>
        <v>6.0074202417728919E-3</v>
      </c>
      <c r="Q20" s="149">
        <f t="shared" si="3"/>
        <v>4.0184448374426944</v>
      </c>
      <c r="R20" s="102"/>
      <c r="T20" s="22"/>
      <c r="U20" s="22"/>
    </row>
    <row r="21" spans="1:21" x14ac:dyDescent="0.25">
      <c r="B21" s="104" t="s">
        <v>76</v>
      </c>
      <c r="C21" s="105">
        <f>VLOOKUP($B21,'County Data'!$B$10:$C$46,2,FALSE)</f>
        <v>26530</v>
      </c>
      <c r="D21" s="134">
        <f>VLOOKUP($B21,Floor!$B$6:$M$45,4,FALSE)</f>
        <v>45000</v>
      </c>
      <c r="E21" s="106">
        <f>VLOOKUP($B21,Burden!$B$6:$H$40,6,FALSE)</f>
        <v>8107.7952310830906</v>
      </c>
      <c r="F21" s="106">
        <f>VLOOKUP($B21,'Health Status'!$B$6:$H$40,6,FALSE)</f>
        <v>6390.2710177841727</v>
      </c>
      <c r="G21" s="106">
        <f>VLOOKUP($B21,Ethnicity!$B$6:$H$40,6,FALSE)</f>
        <v>3062.8172210794805</v>
      </c>
      <c r="H21" s="106">
        <f>VLOOKUP($B21,Poverty!$B$6:$H$40,6,FALSE)</f>
        <v>3474.8187804180302</v>
      </c>
      <c r="I21" s="106">
        <f>VLOOKUP($B21,Rurality!$B$6:$H$40,6,FALSE)</f>
        <v>23815.509113830089</v>
      </c>
      <c r="J21" s="106">
        <f>VLOOKUP($B21,Education!$B$6:$H$40,6,FALSE)</f>
        <v>3191.4512772256694</v>
      </c>
      <c r="K21" s="135">
        <f>VLOOKUP($B21,Language!$B$6:$H$40,6,FALSE)</f>
        <v>3405.1206093998658</v>
      </c>
      <c r="L21" s="171">
        <f>VLOOKUP($B21,Matching!$B$7:$L$40,10,FALSE)</f>
        <v>0</v>
      </c>
      <c r="M21" s="172">
        <f>VLOOKUP($B21,Incentives!$B$7:$Y$40,23,FALSE)</f>
        <v>0</v>
      </c>
      <c r="N21" s="148">
        <f t="shared" si="0"/>
        <v>96447.783250820401</v>
      </c>
      <c r="O21" s="107">
        <f t="shared" si="1"/>
        <v>1.2055972906352552E-2</v>
      </c>
      <c r="P21" s="107">
        <f t="shared" si="2"/>
        <v>6.215946139400734E-3</v>
      </c>
      <c r="Q21" s="149">
        <f t="shared" si="3"/>
        <v>3.6354234169174671</v>
      </c>
      <c r="R21" s="102"/>
      <c r="T21" s="22"/>
      <c r="U21" s="22"/>
    </row>
    <row r="22" spans="1:21" x14ac:dyDescent="0.25">
      <c r="B22" s="104" t="s">
        <v>78</v>
      </c>
      <c r="C22" s="105">
        <f>VLOOKUP($B22,'County Data'!$B$10:$C$46,2,FALSE)</f>
        <v>26840</v>
      </c>
      <c r="D22" s="134">
        <f>VLOOKUP($B22,Floor!$B$6:$M$45,4,FALSE)</f>
        <v>45000</v>
      </c>
      <c r="E22" s="106">
        <f>VLOOKUP($B22,Burden!$B$6:$H$40,6,FALSE)</f>
        <v>7769.0056266363172</v>
      </c>
      <c r="F22" s="106">
        <f>VLOOKUP($B22,'Health Status'!$B$6:$H$40,6,FALSE)</f>
        <v>4054.9331573805434</v>
      </c>
      <c r="G22" s="106">
        <f>VLOOKUP($B22,Ethnicity!$B$6:$H$40,6,FALSE)</f>
        <v>3277.1347961306569</v>
      </c>
      <c r="H22" s="106">
        <f>VLOOKUP($B22,Poverty!$B$6:$H$40,6,FALSE)</f>
        <v>4209.8258867723516</v>
      </c>
      <c r="I22" s="106">
        <f>VLOOKUP($B22,Rurality!$B$6:$H$40,6,FALSE)</f>
        <v>14573.97391171776</v>
      </c>
      <c r="J22" s="106">
        <f>VLOOKUP($B22,Education!$B$6:$H$40,6,FALSE)</f>
        <v>2564.8385254909158</v>
      </c>
      <c r="K22" s="135">
        <f>VLOOKUP($B22,Language!$B$6:$H$40,6,FALSE)</f>
        <v>1764.0955098737466</v>
      </c>
      <c r="L22" s="171">
        <f>VLOOKUP($B22,Matching!$B$7:$L$40,10,FALSE)</f>
        <v>0</v>
      </c>
      <c r="M22" s="172">
        <f>VLOOKUP($B22,Incentives!$B$7:$Y$40,23,FALSE)</f>
        <v>0</v>
      </c>
      <c r="N22" s="148">
        <f t="shared" si="0"/>
        <v>83213.807414002295</v>
      </c>
      <c r="O22" s="107">
        <f t="shared" si="1"/>
        <v>1.0401725926750288E-2</v>
      </c>
      <c r="P22" s="107">
        <f t="shared" si="2"/>
        <v>6.2885787554284095E-3</v>
      </c>
      <c r="Q22" s="149">
        <f t="shared" si="3"/>
        <v>3.1003654029061956</v>
      </c>
      <c r="R22" s="102"/>
      <c r="T22" s="22"/>
      <c r="U22" s="22"/>
    </row>
    <row r="23" spans="1:21" x14ac:dyDescent="0.25">
      <c r="B23" s="108" t="s">
        <v>85</v>
      </c>
      <c r="C23" s="105">
        <f>VLOOKUP($B23,'County Data'!$B$10:$C$46,2,FALSE)</f>
        <v>31080</v>
      </c>
      <c r="D23" s="134">
        <f>VLOOKUP($B23,Floor!$B$6:$M$45,4,FALSE)</f>
        <v>105000</v>
      </c>
      <c r="E23" s="106">
        <f>VLOOKUP($B23,Burden!$B$6:$H$40,6,FALSE)</f>
        <v>9434.7107475075991</v>
      </c>
      <c r="F23" s="106">
        <f>VLOOKUP($B23,'Health Status'!$B$6:$H$40,6,FALSE)</f>
        <v>6113.0144072953099</v>
      </c>
      <c r="G23" s="106">
        <f>VLOOKUP($B23,Ethnicity!$B$6:$H$40,6,FALSE)</f>
        <v>5715.7425113842373</v>
      </c>
      <c r="H23" s="106">
        <f>VLOOKUP($B23,Poverty!$B$6:$H$40,6,FALSE)</f>
        <v>3817.4708614392694</v>
      </c>
      <c r="I23" s="106">
        <f>VLOOKUP($B23,Rurality!$B$6:$H$40,6,FALSE)</f>
        <v>16635.753909692521</v>
      </c>
      <c r="J23" s="106">
        <f>VLOOKUP($B23,Education!$B$6:$H$40,6,FALSE)</f>
        <v>5218.6989598219225</v>
      </c>
      <c r="K23" s="135">
        <f>VLOOKUP($B23,Language!$B$6:$H$40,6,FALSE)</f>
        <v>6923.6963086582691</v>
      </c>
      <c r="L23" s="171">
        <f>VLOOKUP($B23,Matching!$B$7:$L$40,10,FALSE)</f>
        <v>0</v>
      </c>
      <c r="M23" s="172">
        <f>VLOOKUP($B23,Incentives!$B$7:$Y$40,23,FALSE)</f>
        <v>0</v>
      </c>
      <c r="N23" s="148">
        <f t="shared" si="0"/>
        <v>158859.08770579915</v>
      </c>
      <c r="O23" s="107">
        <f t="shared" si="1"/>
        <v>1.9857385963224894E-2</v>
      </c>
      <c r="P23" s="107">
        <f t="shared" si="2"/>
        <v>7.2820055036779052E-3</v>
      </c>
      <c r="Q23" s="149">
        <f t="shared" si="3"/>
        <v>5.1112962582303458</v>
      </c>
      <c r="R23" s="102"/>
      <c r="T23" s="22"/>
      <c r="U23" s="22"/>
    </row>
    <row r="24" spans="1:21" x14ac:dyDescent="0.25">
      <c r="B24" s="104" t="s">
        <v>71</v>
      </c>
      <c r="C24" s="105">
        <f>VLOOKUP($B24,'County Data'!$B$10:$C$46,2,FALSE)</f>
        <v>32105</v>
      </c>
      <c r="D24" s="134">
        <f>VLOOKUP($B24,Floor!$B$6:$M$45,4,FALSE)</f>
        <v>45000</v>
      </c>
      <c r="E24" s="106">
        <f>VLOOKUP($B24,Burden!$B$6:$H$40,6,FALSE)</f>
        <v>9224.195013681363</v>
      </c>
      <c r="F24" s="106">
        <f>VLOOKUP($B24,'Health Status'!$B$6:$H$40,6,FALSE)</f>
        <v>12400.445499464802</v>
      </c>
      <c r="G24" s="106">
        <f>VLOOKUP($B24,Ethnicity!$B$6:$H$40,6,FALSE)</f>
        <v>5393.3699996027326</v>
      </c>
      <c r="H24" s="106">
        <f>VLOOKUP($B24,Poverty!$B$6:$H$40,6,FALSE)</f>
        <v>6037.326091197293</v>
      </c>
      <c r="I24" s="106">
        <f>VLOOKUP($B24,Rurality!$B$6:$H$40,6,FALSE)</f>
        <v>20041.555067141799</v>
      </c>
      <c r="J24" s="106">
        <f>VLOOKUP($B24,Education!$B$6:$H$40,6,FALSE)</f>
        <v>7620.7099791670398</v>
      </c>
      <c r="K24" s="135">
        <f>VLOOKUP($B24,Language!$B$6:$H$40,6,FALSE)</f>
        <v>10274.358025574251</v>
      </c>
      <c r="L24" s="171">
        <f>VLOOKUP($B24,Matching!$B$7:$L$40,10,FALSE)</f>
        <v>0</v>
      </c>
      <c r="M24" s="172">
        <f>VLOOKUP($B24,Incentives!$B$7:$Y$40,23,FALSE)</f>
        <v>0</v>
      </c>
      <c r="N24" s="148">
        <f t="shared" si="0"/>
        <v>115991.95967582928</v>
      </c>
      <c r="O24" s="107">
        <f t="shared" si="1"/>
        <v>1.4498994959478661E-2</v>
      </c>
      <c r="P24" s="107">
        <f t="shared" si="2"/>
        <v>7.5221617340919924E-3</v>
      </c>
      <c r="Q24" s="149">
        <f t="shared" si="3"/>
        <v>3.612893931656417</v>
      </c>
      <c r="R24" s="102"/>
      <c r="T24" s="22"/>
      <c r="U24" s="22"/>
    </row>
    <row r="25" spans="1:21" x14ac:dyDescent="0.25">
      <c r="B25" s="104" t="s">
        <v>53</v>
      </c>
      <c r="C25" s="105">
        <f>VLOOKUP($B25,'County Data'!$B$10:$C$46,2,FALSE)</f>
        <v>39455</v>
      </c>
      <c r="D25" s="134">
        <f>VLOOKUP($B25,Floor!$B$6:$M$45,4,FALSE)</f>
        <v>45000</v>
      </c>
      <c r="E25" s="106">
        <f>VLOOKUP($B25,Burden!$B$6:$H$40,6,FALSE)</f>
        <v>11995.754898876119</v>
      </c>
      <c r="F25" s="106">
        <f>VLOOKUP($B25,'Health Status'!$B$6:$H$40,6,FALSE)</f>
        <v>8435.0688070000433</v>
      </c>
      <c r="G25" s="106">
        <f>VLOOKUP($B25,Ethnicity!$B$6:$H$40,6,FALSE)</f>
        <v>5335.9340868071122</v>
      </c>
      <c r="H25" s="106">
        <f>VLOOKUP($B25,Poverty!$B$6:$H$40,6,FALSE)</f>
        <v>4661.0546950019107</v>
      </c>
      <c r="I25" s="106">
        <f>VLOOKUP($B25,Rurality!$B$6:$H$40,6,FALSE)</f>
        <v>19846.322083523148</v>
      </c>
      <c r="J25" s="106">
        <f>VLOOKUP($B25,Education!$B$6:$H$40,6,FALSE)</f>
        <v>4135.7940454565232</v>
      </c>
      <c r="K25" s="135">
        <f>VLOOKUP($B25,Language!$B$6:$H$40,6,FALSE)</f>
        <v>4940.213297463446</v>
      </c>
      <c r="L25" s="171">
        <f>VLOOKUP($B25,Matching!$B$7:$L$40,10,FALSE)</f>
        <v>0</v>
      </c>
      <c r="M25" s="172">
        <f>VLOOKUP($B25,Incentives!$B$7:$Y$40,23,FALSE)</f>
        <v>0</v>
      </c>
      <c r="N25" s="148">
        <f t="shared" si="0"/>
        <v>104350.1419141283</v>
      </c>
      <c r="O25" s="107">
        <f t="shared" si="1"/>
        <v>1.3043767739266039E-2</v>
      </c>
      <c r="P25" s="107">
        <f t="shared" si="2"/>
        <v>9.2442576302320372E-3</v>
      </c>
      <c r="Q25" s="149">
        <f t="shared" si="3"/>
        <v>2.644788795187639</v>
      </c>
      <c r="R25" s="102"/>
      <c r="T25" s="22"/>
      <c r="U25" s="22"/>
    </row>
    <row r="26" spans="1:21" x14ac:dyDescent="0.25">
      <c r="B26" s="104" t="s">
        <v>69</v>
      </c>
      <c r="C26" s="105">
        <f>VLOOKUP($B26,'County Data'!$B$10:$C$46,2,FALSE)</f>
        <v>48305</v>
      </c>
      <c r="D26" s="134">
        <f>VLOOKUP($B26,Floor!$B$6:$M$45,4,FALSE)</f>
        <v>45000</v>
      </c>
      <c r="E26" s="106">
        <f>VLOOKUP($B26,Burden!$B$6:$H$40,6,FALSE)</f>
        <v>17563.141087884618</v>
      </c>
      <c r="F26" s="106">
        <f>VLOOKUP($B26,'Health Status'!$B$6:$H$40,6,FALSE)</f>
        <v>14664.491653413628</v>
      </c>
      <c r="G26" s="106">
        <f>VLOOKUP($B26,Ethnicity!$B$6:$H$40,6,FALSE)</f>
        <v>8774.5967775150712</v>
      </c>
      <c r="H26" s="106">
        <f>VLOOKUP($B26,Poverty!$B$6:$H$40,6,FALSE)</f>
        <v>6987.9807895438735</v>
      </c>
      <c r="I26" s="106">
        <f>VLOOKUP($B26,Rurality!$B$6:$H$40,6,FALSE)</f>
        <v>23425.739624171918</v>
      </c>
      <c r="J26" s="106">
        <f>VLOOKUP($B26,Education!$B$6:$H$40,6,FALSE)</f>
        <v>5650.2575013433125</v>
      </c>
      <c r="K26" s="135">
        <f>VLOOKUP($B26,Language!$B$6:$H$40,6,FALSE)</f>
        <v>3903.4531866464536</v>
      </c>
      <c r="L26" s="171">
        <f>VLOOKUP($B26,Matching!$B$7:$L$40,10,FALSE)</f>
        <v>0</v>
      </c>
      <c r="M26" s="172">
        <f>VLOOKUP($B26,Incentives!$B$7:$Y$40,23,FALSE)</f>
        <v>0</v>
      </c>
      <c r="N26" s="148">
        <f t="shared" si="0"/>
        <v>125969.66062051886</v>
      </c>
      <c r="O26" s="107">
        <f t="shared" si="1"/>
        <v>1.5746207577564859E-2</v>
      </c>
      <c r="P26" s="107">
        <f t="shared" si="2"/>
        <v>1.131780166844148E-2</v>
      </c>
      <c r="Q26" s="149">
        <f t="shared" si="3"/>
        <v>2.6077975493327576</v>
      </c>
      <c r="R26" s="102"/>
      <c r="T26" s="22"/>
      <c r="U26" s="22"/>
    </row>
    <row r="27" spans="1:21" x14ac:dyDescent="0.25">
      <c r="B27" s="104" t="s">
        <v>54</v>
      </c>
      <c r="C27" s="105">
        <f>VLOOKUP($B27,'County Data'!$B$10:$C$46,2,FALSE)</f>
        <v>53280</v>
      </c>
      <c r="D27" s="134">
        <f>VLOOKUP($B27,Floor!$B$6:$M$45,4,FALSE)</f>
        <v>45000</v>
      </c>
      <c r="E27" s="106">
        <f>VLOOKUP($B27,Burden!$B$6:$H$40,6,FALSE)</f>
        <v>14240.674842179216</v>
      </c>
      <c r="F27" s="106">
        <f>VLOOKUP($B27,'Health Status'!$B$6:$H$40,6,FALSE)</f>
        <v>15567.303770130913</v>
      </c>
      <c r="G27" s="106">
        <f>VLOOKUP($B27,Ethnicity!$B$6:$H$40,6,FALSE)</f>
        <v>5868.6202081821075</v>
      </c>
      <c r="H27" s="106">
        <f>VLOOKUP($B27,Poverty!$B$6:$H$40,6,FALSE)</f>
        <v>5773.0943429799363</v>
      </c>
      <c r="I27" s="106">
        <f>VLOOKUP($B27,Rurality!$B$6:$H$40,6,FALSE)</f>
        <v>29961.536817731943</v>
      </c>
      <c r="J27" s="106">
        <f>VLOOKUP($B27,Education!$B$6:$H$40,6,FALSE)</f>
        <v>6346.2925318073667</v>
      </c>
      <c r="K27" s="135">
        <f>VLOOKUP($B27,Language!$B$6:$H$40,6,FALSE)</f>
        <v>2936.2580702587775</v>
      </c>
      <c r="L27" s="171">
        <f>VLOOKUP($B27,Matching!$B$7:$L$40,10,FALSE)</f>
        <v>0</v>
      </c>
      <c r="M27" s="172">
        <f>VLOOKUP($B27,Incentives!$B$7:$Y$40,23,FALSE)</f>
        <v>0</v>
      </c>
      <c r="N27" s="148">
        <f t="shared" si="0"/>
        <v>125693.78058327026</v>
      </c>
      <c r="O27" s="107">
        <f t="shared" si="1"/>
        <v>1.5711722572908784E-2</v>
      </c>
      <c r="P27" s="107">
        <f t="shared" si="2"/>
        <v>1.248343800630498E-2</v>
      </c>
      <c r="Q27" s="149">
        <f t="shared" si="3"/>
        <v>2.3591175034397569</v>
      </c>
      <c r="R27" s="102"/>
      <c r="T27" s="22"/>
      <c r="U27" s="22"/>
    </row>
    <row r="28" spans="1:21" x14ac:dyDescent="0.25">
      <c r="B28" s="104" t="s">
        <v>55</v>
      </c>
      <c r="C28" s="105">
        <f>VLOOKUP($B28,'County Data'!$B$10:$C$46,2,FALSE)</f>
        <v>63315</v>
      </c>
      <c r="D28" s="134">
        <f>VLOOKUP($B28,Floor!$B$6:$M$45,4,FALSE)</f>
        <v>45000</v>
      </c>
      <c r="E28" s="106">
        <f>VLOOKUP($B28,Burden!$B$6:$H$40,6,FALSE)</f>
        <v>23161.080193242771</v>
      </c>
      <c r="F28" s="106">
        <f>VLOOKUP($B28,'Health Status'!$B$6:$H$40,6,FALSE)</f>
        <v>19311.486612470657</v>
      </c>
      <c r="G28" s="106">
        <f>VLOOKUP($B28,Ethnicity!$B$6:$H$40,6,FALSE)</f>
        <v>11374.066195244359</v>
      </c>
      <c r="H28" s="106">
        <f>VLOOKUP($B28,Poverty!$B$6:$H$40,6,FALSE)</f>
        <v>9744.2930014202284</v>
      </c>
      <c r="I28" s="106">
        <f>VLOOKUP($B28,Rurality!$B$6:$H$40,6,FALSE)</f>
        <v>31358.206523096083</v>
      </c>
      <c r="J28" s="106">
        <f>VLOOKUP($B28,Education!$B$6:$H$40,6,FALSE)</f>
        <v>8773.1892077242519</v>
      </c>
      <c r="K28" s="135">
        <f>VLOOKUP($B28,Language!$B$6:$H$40,6,FALSE)</f>
        <v>3832.331973227821</v>
      </c>
      <c r="L28" s="171">
        <f>VLOOKUP($B28,Matching!$B$7:$L$40,10,FALSE)</f>
        <v>0</v>
      </c>
      <c r="M28" s="172">
        <f>VLOOKUP($B28,Incentives!$B$7:$Y$40,23,FALSE)</f>
        <v>0</v>
      </c>
      <c r="N28" s="148">
        <f t="shared" si="0"/>
        <v>152554.65370642618</v>
      </c>
      <c r="O28" s="107">
        <f t="shared" si="1"/>
        <v>1.9069331713303276E-2</v>
      </c>
      <c r="P28" s="107">
        <f t="shared" si="2"/>
        <v>1.4834626076749246E-2</v>
      </c>
      <c r="Q28" s="149">
        <f t="shared" si="3"/>
        <v>2.409455163964719</v>
      </c>
      <c r="R28" s="102"/>
      <c r="T28" s="22"/>
      <c r="U28" s="22"/>
    </row>
    <row r="29" spans="1:21" x14ac:dyDescent="0.25">
      <c r="B29" s="104" t="s">
        <v>66</v>
      </c>
      <c r="C29" s="105">
        <f>VLOOKUP($B29,'County Data'!$B$10:$C$46,2,FALSE)</f>
        <v>68075</v>
      </c>
      <c r="D29" s="134">
        <f>VLOOKUP($B29,Floor!$B$6:$M$45,4,FALSE)</f>
        <v>45000</v>
      </c>
      <c r="E29" s="106">
        <f>VLOOKUP($B29,Burden!$B$6:$H$40,6,FALSE)</f>
        <v>24500.179105564406</v>
      </c>
      <c r="F29" s="106">
        <f>VLOOKUP($B29,'Health Status'!$B$6:$H$40,6,FALSE)</f>
        <v>16882.323621400898</v>
      </c>
      <c r="G29" s="106">
        <f>VLOOKUP($B29,Ethnicity!$B$6:$H$40,6,FALSE)</f>
        <v>12565.748443876026</v>
      </c>
      <c r="H29" s="106">
        <f>VLOOKUP($B29,Poverty!$B$6:$H$40,6,FALSE)</f>
        <v>11636.301489791656</v>
      </c>
      <c r="I29" s="106">
        <f>VLOOKUP($B29,Rurality!$B$6:$H$40,6,FALSE)</f>
        <v>33013.295205786213</v>
      </c>
      <c r="J29" s="106">
        <f>VLOOKUP($B29,Education!$B$6:$H$40,6,FALSE)</f>
        <v>10653.56115515539</v>
      </c>
      <c r="K29" s="135">
        <f>VLOOKUP($B29,Language!$B$6:$H$40,6,FALSE)</f>
        <v>9301.9537240581703</v>
      </c>
      <c r="L29" s="171">
        <f>VLOOKUP($B29,Matching!$B$7:$L$40,10,FALSE)</f>
        <v>0</v>
      </c>
      <c r="M29" s="172">
        <f>VLOOKUP($B29,Incentives!$B$7:$Y$40,23,FALSE)</f>
        <v>0</v>
      </c>
      <c r="N29" s="148">
        <f t="shared" si="0"/>
        <v>163553.36274563274</v>
      </c>
      <c r="O29" s="107">
        <f t="shared" si="1"/>
        <v>2.0444170343204095E-2</v>
      </c>
      <c r="P29" s="107">
        <f t="shared" si="2"/>
        <v>1.5949888180916132E-2</v>
      </c>
      <c r="Q29" s="149">
        <f t="shared" si="3"/>
        <v>2.402546643343852</v>
      </c>
      <c r="R29" s="109">
        <f>SUM(N17:N29)/SUM(C17:C29)</f>
        <v>3.0866628667137412</v>
      </c>
      <c r="T29" s="22"/>
      <c r="U29" s="22"/>
    </row>
    <row r="30" spans="1:21" x14ac:dyDescent="0.25">
      <c r="A30" s="40"/>
      <c r="B30" s="110" t="s">
        <v>77</v>
      </c>
      <c r="C30" s="111">
        <f>VLOOKUP($B30,'County Data'!$B$10:$C$46,2,FALSE)</f>
        <v>81495</v>
      </c>
      <c r="D30" s="136">
        <f>VLOOKUP($B30,Floor!$B$6:$M$45,4,FALSE)</f>
        <v>60000</v>
      </c>
      <c r="E30" s="112">
        <f>VLOOKUP($B30,Burden!$B$6:$H$40,6,FALSE)</f>
        <v>21465.043167018044</v>
      </c>
      <c r="F30" s="112">
        <f>VLOOKUP($B30,'Health Status'!$B$6:$H$40,6,FALSE)</f>
        <v>21371.948053304644</v>
      </c>
      <c r="G30" s="112">
        <f>VLOOKUP($B30,Ethnicity!$B$6:$H$40,6,FALSE)</f>
        <v>18187.376315222165</v>
      </c>
      <c r="H30" s="112">
        <f>VLOOKUP($B30,Poverty!$B$6:$H$40,6,FALSE)</f>
        <v>12366.871075177998</v>
      </c>
      <c r="I30" s="112">
        <f>VLOOKUP($B30,Rurality!$B$6:$H$40,6,FALSE)</f>
        <v>30587.031723595857</v>
      </c>
      <c r="J30" s="112">
        <f>VLOOKUP($B30,Education!$B$6:$H$40,6,FALSE)</f>
        <v>18044.800431126801</v>
      </c>
      <c r="K30" s="137">
        <f>VLOOKUP($B30,Language!$B$6:$H$40,6,FALSE)</f>
        <v>35041.996171024854</v>
      </c>
      <c r="L30" s="173">
        <f>VLOOKUP($B30,Matching!$B$7:$L$40,10,FALSE)</f>
        <v>0</v>
      </c>
      <c r="M30" s="174">
        <f>VLOOKUP($B30,Incentives!$B$7:$Y$40,23,FALSE)</f>
        <v>0</v>
      </c>
      <c r="N30" s="150">
        <f t="shared" si="0"/>
        <v>217065.06693647039</v>
      </c>
      <c r="O30" s="113">
        <f t="shared" si="1"/>
        <v>2.7133133367058804E-2</v>
      </c>
      <c r="P30" s="113">
        <f t="shared" si="2"/>
        <v>1.9094177558630337E-2</v>
      </c>
      <c r="Q30" s="151">
        <f t="shared" si="3"/>
        <v>2.6635384617028088</v>
      </c>
      <c r="R30" s="102"/>
      <c r="T30" s="22"/>
      <c r="U30" s="22"/>
    </row>
    <row r="31" spans="1:21" x14ac:dyDescent="0.25">
      <c r="A31" s="40"/>
      <c r="B31" s="110" t="s">
        <v>75</v>
      </c>
      <c r="C31" s="111">
        <f>VLOOKUP($B31,'County Data'!$B$10:$C$46,2,FALSE)</f>
        <v>83805</v>
      </c>
      <c r="D31" s="136">
        <f>VLOOKUP($B31,Floor!$B$6:$M$45,4,FALSE)</f>
        <v>60000</v>
      </c>
      <c r="E31" s="112">
        <f>VLOOKUP($B31,Burden!$B$6:$H$40,6,FALSE)</f>
        <v>18714.370488112312</v>
      </c>
      <c r="F31" s="112">
        <f>VLOOKUP($B31,'Health Status'!$B$6:$H$40,6,FALSE)</f>
        <v>21858.298022359122</v>
      </c>
      <c r="G31" s="112">
        <f>VLOOKUP($B31,Ethnicity!$B$6:$H$40,6,FALSE)</f>
        <v>15486.853835182839</v>
      </c>
      <c r="H31" s="112">
        <f>VLOOKUP($B31,Poverty!$B$6:$H$40,6,FALSE)</f>
        <v>10124.708592528936</v>
      </c>
      <c r="I31" s="112">
        <f>VLOOKUP($B31,Rurality!$B$6:$H$40,6,FALSE)</f>
        <v>21509.800741495292</v>
      </c>
      <c r="J31" s="112">
        <f>VLOOKUP($B31,Education!$B$6:$H$40,6,FALSE)</f>
        <v>9959.7524373703527</v>
      </c>
      <c r="K31" s="137">
        <f>VLOOKUP($B31,Language!$B$6:$H$40,6,FALSE)</f>
        <v>17523.491755261664</v>
      </c>
      <c r="L31" s="173">
        <f>VLOOKUP($B31,Matching!$B$7:$L$40,10,FALSE)</f>
        <v>0</v>
      </c>
      <c r="M31" s="174">
        <f>VLOOKUP($B31,Incentives!$B$7:$Y$40,23,FALSE)</f>
        <v>0</v>
      </c>
      <c r="N31" s="150">
        <f t="shared" si="0"/>
        <v>175177.27587231057</v>
      </c>
      <c r="O31" s="113">
        <f t="shared" si="1"/>
        <v>2.1897159484038822E-2</v>
      </c>
      <c r="P31" s="113">
        <f t="shared" si="2"/>
        <v>1.9635407697417208E-2</v>
      </c>
      <c r="Q31" s="151">
        <f t="shared" si="3"/>
        <v>2.0902962337845064</v>
      </c>
      <c r="R31" s="102"/>
      <c r="T31" s="22"/>
      <c r="U31" s="22"/>
    </row>
    <row r="32" spans="1:21" x14ac:dyDescent="0.25">
      <c r="B32" s="110" t="s">
        <v>65</v>
      </c>
      <c r="C32" s="111">
        <f>VLOOKUP($B32,'County Data'!$B$10:$C$46,2,FALSE)</f>
        <v>86560</v>
      </c>
      <c r="D32" s="136">
        <f>VLOOKUP($B32,Floor!$B$6:$M$45,4,FALSE)</f>
        <v>60000</v>
      </c>
      <c r="E32" s="112">
        <f>VLOOKUP($B32,Burden!$B$6:$H$40,6,FALSE)</f>
        <v>31920.092313616122</v>
      </c>
      <c r="F32" s="112">
        <f>VLOOKUP($B32,'Health Status'!$B$6:$H$40,6,FALSE)</f>
        <v>26894.846144315528</v>
      </c>
      <c r="G32" s="112">
        <f>VLOOKUP($B32,Ethnicity!$B$6:$H$40,6,FALSE)</f>
        <v>10579.112364126566</v>
      </c>
      <c r="H32" s="112">
        <f>VLOOKUP($B32,Poverty!$B$6:$H$40,6,FALSE)</f>
        <v>14939.951412807497</v>
      </c>
      <c r="I32" s="112">
        <f>VLOOKUP($B32,Rurality!$B$6:$H$40,6,FALSE)</f>
        <v>50239.249375133215</v>
      </c>
      <c r="J32" s="112">
        <f>VLOOKUP($B32,Education!$B$6:$H$40,6,FALSE)</f>
        <v>10530.923355972156</v>
      </c>
      <c r="K32" s="137">
        <f>VLOOKUP($B32,Language!$B$6:$H$40,6,FALSE)</f>
        <v>4640.5253888070611</v>
      </c>
      <c r="L32" s="173">
        <f>VLOOKUP($B32,Matching!$B$7:$L$40,10,FALSE)</f>
        <v>0</v>
      </c>
      <c r="M32" s="174">
        <f>VLOOKUP($B32,Incentives!$B$7:$Y$40,23,FALSE)</f>
        <v>0</v>
      </c>
      <c r="N32" s="150">
        <f t="shared" si="0"/>
        <v>209744.70035477818</v>
      </c>
      <c r="O32" s="113">
        <f t="shared" si="1"/>
        <v>2.6218087544347277E-2</v>
      </c>
      <c r="P32" s="113">
        <f t="shared" si="2"/>
        <v>2.0280900785018E-2</v>
      </c>
      <c r="Q32" s="151">
        <f t="shared" si="3"/>
        <v>2.4231134514184172</v>
      </c>
      <c r="R32" s="102"/>
      <c r="T32" s="22"/>
      <c r="U32" s="22"/>
    </row>
    <row r="33" spans="2:21" x14ac:dyDescent="0.25">
      <c r="B33" s="110" t="s">
        <v>51</v>
      </c>
      <c r="C33" s="111">
        <f>VLOOKUP($B33,'County Data'!$B$10:$C$46,2,FALSE)</f>
        <v>94665</v>
      </c>
      <c r="D33" s="136">
        <f>VLOOKUP($B33,Floor!$B$6:$M$45,4,FALSE)</f>
        <v>60000</v>
      </c>
      <c r="E33" s="112">
        <f>VLOOKUP($B33,Burden!$B$6:$H$40,6,FALSE)</f>
        <v>14309.990215546635</v>
      </c>
      <c r="F33" s="112">
        <f>VLOOKUP($B33,'Health Status'!$B$6:$H$40,6,FALSE)</f>
        <v>15246.255922520422</v>
      </c>
      <c r="G33" s="112">
        <f>VLOOKUP($B33,Ethnicity!$B$6:$H$40,6,FALSE)</f>
        <v>20903.048068667125</v>
      </c>
      <c r="H33" s="112">
        <f>VLOOKUP($B33,Poverty!$B$6:$H$40,6,FALSE)</f>
        <v>13589.113036347271</v>
      </c>
      <c r="I33" s="112">
        <f>VLOOKUP($B33,Rurality!$B$6:$H$40,6,FALSE)</f>
        <v>22954.121121232114</v>
      </c>
      <c r="J33" s="112">
        <f>VLOOKUP($B33,Education!$B$6:$H$40,6,FALSE)</f>
        <v>5362.9100312164819</v>
      </c>
      <c r="K33" s="137">
        <f>VLOOKUP($B33,Language!$B$6:$H$40,6,FALSE)</f>
        <v>18446.07829460741</v>
      </c>
      <c r="L33" s="173">
        <f>VLOOKUP($B33,Matching!$B$7:$L$40,10,FALSE)</f>
        <v>0</v>
      </c>
      <c r="M33" s="174">
        <f>VLOOKUP($B33,Incentives!$B$7:$Y$40,23,FALSE)</f>
        <v>0</v>
      </c>
      <c r="N33" s="150">
        <f t="shared" si="0"/>
        <v>170811.51669013745</v>
      </c>
      <c r="O33" s="113">
        <f t="shared" si="1"/>
        <v>2.1351439586267184E-2</v>
      </c>
      <c r="P33" s="113">
        <f t="shared" si="2"/>
        <v>2.217989224599964E-2</v>
      </c>
      <c r="Q33" s="151">
        <f t="shared" si="3"/>
        <v>1.80437877452213</v>
      </c>
      <c r="R33" s="102"/>
      <c r="T33" s="22"/>
      <c r="U33" s="22"/>
    </row>
    <row r="34" spans="2:21" x14ac:dyDescent="0.25">
      <c r="B34" s="110" t="s">
        <v>82</v>
      </c>
      <c r="C34" s="111">
        <f>VLOOKUP($B34,'County Data'!$B$10:$C$46,2,FALSE)</f>
        <v>108605</v>
      </c>
      <c r="D34" s="136">
        <f>VLOOKUP($B34,Floor!$B$6:$M$45,4,FALSE)</f>
        <v>60000</v>
      </c>
      <c r="E34" s="112">
        <f>VLOOKUP($B34,Burden!$B$6:$H$40,6,FALSE)</f>
        <v>25369.799267605664</v>
      </c>
      <c r="F34" s="112">
        <f>VLOOKUP($B34,'Health Status'!$B$6:$H$40,6,FALSE)</f>
        <v>28481.507065821839</v>
      </c>
      <c r="G34" s="112">
        <f>VLOOKUP($B34,Ethnicity!$B$6:$H$40,6,FALSE)</f>
        <v>19514.126151485158</v>
      </c>
      <c r="H34" s="112">
        <f>VLOOKUP($B34,Poverty!$B$6:$H$40,6,FALSE)</f>
        <v>12060.553416591461</v>
      </c>
      <c r="I34" s="112">
        <f>VLOOKUP($B34,Rurality!$B$6:$H$40,6,FALSE)</f>
        <v>31657.137279608578</v>
      </c>
      <c r="J34" s="112">
        <f>VLOOKUP($B34,Education!$B$6:$H$40,6,FALSE)</f>
        <v>15852.964301066468</v>
      </c>
      <c r="K34" s="137">
        <f>VLOOKUP($B34,Language!$B$6:$H$40,6,FALSE)</f>
        <v>23455.122600778715</v>
      </c>
      <c r="L34" s="173">
        <f>VLOOKUP($B34,Matching!$B$7:$L$40,10,FALSE)</f>
        <v>0</v>
      </c>
      <c r="M34" s="174">
        <f>VLOOKUP($B34,Incentives!$B$7:$Y$40,23,FALSE)</f>
        <v>0</v>
      </c>
      <c r="N34" s="150">
        <f t="shared" si="0"/>
        <v>216391.21008295787</v>
      </c>
      <c r="O34" s="113">
        <f t="shared" si="1"/>
        <v>2.7048901260369736E-2</v>
      </c>
      <c r="P34" s="113">
        <f t="shared" si="2"/>
        <v>2.5446016979631236E-2</v>
      </c>
      <c r="Q34" s="151">
        <f t="shared" si="3"/>
        <v>1.9924608451080326</v>
      </c>
      <c r="R34" s="102"/>
      <c r="T34" s="22"/>
      <c r="U34" s="22"/>
    </row>
    <row r="35" spans="2:21" x14ac:dyDescent="0.25">
      <c r="B35" s="110" t="s">
        <v>59</v>
      </c>
      <c r="C35" s="111">
        <f>VLOOKUP($B35,'County Data'!$B$10:$C$46,2,FALSE)</f>
        <v>112530</v>
      </c>
      <c r="D35" s="136">
        <f>VLOOKUP($B35,Floor!$B$6:$M$45,4,FALSE)</f>
        <v>60000</v>
      </c>
      <c r="E35" s="112">
        <f>VLOOKUP($B35,Burden!$B$6:$H$40,6,FALSE)</f>
        <v>42218.275010793892</v>
      </c>
      <c r="F35" s="112">
        <f>VLOOKUP($B35,'Health Status'!$B$6:$H$40,6,FALSE)</f>
        <v>35605.461244976257</v>
      </c>
      <c r="G35" s="112">
        <f>VLOOKUP($B35,Ethnicity!$B$6:$H$40,6,FALSE)</f>
        <v>12946.916713496781</v>
      </c>
      <c r="H35" s="112">
        <f>VLOOKUP($B35,Poverty!$B$6:$H$40,6,FALSE)</f>
        <v>16086.937919340857</v>
      </c>
      <c r="I35" s="112">
        <f>VLOOKUP($B35,Rurality!$B$6:$H$40,6,FALSE)</f>
        <v>59796.933807242276</v>
      </c>
      <c r="J35" s="112">
        <f>VLOOKUP($B35,Education!$B$6:$H$40,6,FALSE)</f>
        <v>15227.63788394867</v>
      </c>
      <c r="K35" s="137">
        <f>VLOOKUP($B35,Language!$B$6:$H$40,6,FALSE)</f>
        <v>5455.8765147327977</v>
      </c>
      <c r="L35" s="173">
        <f>VLOOKUP($B35,Matching!$B$7:$L$40,10,FALSE)</f>
        <v>0</v>
      </c>
      <c r="M35" s="174">
        <f>VLOOKUP($B35,Incentives!$B$7:$Y$40,23,FALSE)</f>
        <v>0</v>
      </c>
      <c r="N35" s="150">
        <f t="shared" si="0"/>
        <v>247338.03909453153</v>
      </c>
      <c r="O35" s="113">
        <f t="shared" si="1"/>
        <v>3.0917254886816445E-2</v>
      </c>
      <c r="P35" s="113">
        <f t="shared" si="2"/>
        <v>2.6365639618046159E-2</v>
      </c>
      <c r="Q35" s="151">
        <f t="shared" si="3"/>
        <v>2.1979742210480007</v>
      </c>
      <c r="R35" s="102"/>
      <c r="T35" s="22"/>
      <c r="U35" s="22"/>
    </row>
    <row r="36" spans="2:21" x14ac:dyDescent="0.25">
      <c r="B36" s="110" t="s">
        <v>70</v>
      </c>
      <c r="C36" s="111">
        <f>VLOOKUP($B36,'County Data'!$B$10:$C$46,2,FALSE)</f>
        <v>127320</v>
      </c>
      <c r="D36" s="136">
        <f>VLOOKUP($B36,Floor!$B$6:$M$45,4,FALSE)</f>
        <v>60000</v>
      </c>
      <c r="E36" s="112">
        <f>VLOOKUP($B36,Burden!$B$6:$H$40,6,FALSE)</f>
        <v>35341.805319554973</v>
      </c>
      <c r="F36" s="112">
        <f>VLOOKUP($B36,'Health Status'!$B$6:$H$40,6,FALSE)</f>
        <v>32845.095400128659</v>
      </c>
      <c r="G36" s="112">
        <f>VLOOKUP($B36,Ethnicity!$B$6:$H$40,6,FALSE)</f>
        <v>18769.168918540618</v>
      </c>
      <c r="H36" s="112">
        <f>VLOOKUP($B36,Poverty!$B$6:$H$40,6,FALSE)</f>
        <v>16768.50618141942</v>
      </c>
      <c r="I36" s="112">
        <f>VLOOKUP($B36,Rurality!$B$6:$H$40,6,FALSE)</f>
        <v>51891.603738438578</v>
      </c>
      <c r="J36" s="112">
        <f>VLOOKUP($B36,Education!$B$6:$H$40,6,FALSE)</f>
        <v>15959.309968652969</v>
      </c>
      <c r="K36" s="137">
        <f>VLOOKUP($B36,Language!$B$6:$H$40,6,FALSE)</f>
        <v>12552.323545885822</v>
      </c>
      <c r="L36" s="173">
        <f>VLOOKUP($B36,Matching!$B$7:$L$40,10,FALSE)</f>
        <v>0</v>
      </c>
      <c r="M36" s="174">
        <f>VLOOKUP($B36,Incentives!$B$7:$Y$40,23,FALSE)</f>
        <v>0</v>
      </c>
      <c r="N36" s="150">
        <f t="shared" si="0"/>
        <v>244127.81307262104</v>
      </c>
      <c r="O36" s="113">
        <f t="shared" si="1"/>
        <v>3.0515976634077634E-2</v>
      </c>
      <c r="P36" s="113">
        <f t="shared" si="2"/>
        <v>2.9830918298850415E-2</v>
      </c>
      <c r="Q36" s="151">
        <f t="shared" si="3"/>
        <v>1.9174349126030557</v>
      </c>
      <c r="R36" s="114">
        <f>SUM(N30:N36)/SUM(C30:C36)</f>
        <v>2.130501053417087</v>
      </c>
      <c r="T36" s="22"/>
      <c r="U36" s="22"/>
    </row>
    <row r="37" spans="2:21" x14ac:dyDescent="0.25">
      <c r="B37" s="115" t="s">
        <v>58</v>
      </c>
      <c r="C37" s="116">
        <f>VLOOKUP($B37,'County Data'!$B$10:$C$46,2,FALSE)</f>
        <v>197015</v>
      </c>
      <c r="D37" s="138">
        <f>VLOOKUP($B37,Floor!$B$6:$M$45,4,FALSE)</f>
        <v>75000</v>
      </c>
      <c r="E37" s="117">
        <f>VLOOKUP($B37,Burden!$B$6:$H$40,6,FALSE)</f>
        <v>39361.864233534892</v>
      </c>
      <c r="F37" s="117">
        <f>VLOOKUP($B37,'Health Status'!$B$6:$H$40,6,FALSE)</f>
        <v>38469.379647450267</v>
      </c>
      <c r="G37" s="117">
        <f>VLOOKUP($B37,Ethnicity!$B$6:$H$40,6,FALSE)</f>
        <v>19714.873821055196</v>
      </c>
      <c r="H37" s="117">
        <f>VLOOKUP($B37,Poverty!$B$6:$H$40,6,FALSE)</f>
        <v>19038.554830815901</v>
      </c>
      <c r="I37" s="117">
        <f>VLOOKUP($B37,Rurality!$B$6:$H$40,6,FALSE)</f>
        <v>70132.893240838879</v>
      </c>
      <c r="J37" s="117">
        <f>VLOOKUP($B37,Education!$B$6:$H$40,6,FALSE)</f>
        <v>15838.413449048447</v>
      </c>
      <c r="K37" s="139">
        <f>VLOOKUP($B37,Language!$B$6:$H$40,6,FALSE)</f>
        <v>16997.812740781323</v>
      </c>
      <c r="L37" s="175">
        <f>VLOOKUP($B37,Matching!$B$7:$L$40,10,FALSE)</f>
        <v>0</v>
      </c>
      <c r="M37" s="176">
        <f>VLOOKUP($B37,Incentives!$B$7:$Y$40,23,FALSE)</f>
        <v>0</v>
      </c>
      <c r="N37" s="152">
        <f t="shared" si="0"/>
        <v>294553.79196352494</v>
      </c>
      <c r="O37" s="118">
        <f t="shared" si="1"/>
        <v>3.6819223995440624E-2</v>
      </c>
      <c r="P37" s="118">
        <f t="shared" si="2"/>
        <v>4.6160370473201491E-2</v>
      </c>
      <c r="Q37" s="153">
        <f t="shared" si="3"/>
        <v>1.4950830747076362</v>
      </c>
      <c r="R37" s="102"/>
      <c r="T37" s="22"/>
      <c r="U37" s="22"/>
    </row>
    <row r="38" spans="2:21" x14ac:dyDescent="0.25">
      <c r="B38" s="115" t="s">
        <v>63</v>
      </c>
      <c r="C38" s="116">
        <f>VLOOKUP($B38,'County Data'!$B$10:$C$46,2,FALSE)</f>
        <v>223240</v>
      </c>
      <c r="D38" s="138">
        <f>VLOOKUP($B38,Floor!$B$6:$M$45,4,FALSE)</f>
        <v>75000</v>
      </c>
      <c r="E38" s="117">
        <f>VLOOKUP($B38,Burden!$B$6:$H$40,6,FALSE)</f>
        <v>63281.747051704762</v>
      </c>
      <c r="F38" s="117">
        <f>VLOOKUP($B38,'Health Status'!$B$6:$H$40,6,FALSE)</f>
        <v>58544.373070982612</v>
      </c>
      <c r="G38" s="117">
        <f>VLOOKUP($B38,Ethnicity!$B$6:$H$40,6,FALSE)</f>
        <v>29631.498524271636</v>
      </c>
      <c r="H38" s="117">
        <f>VLOOKUP($B38,Poverty!$B$6:$H$40,6,FALSE)</f>
        <v>30833.233084586183</v>
      </c>
      <c r="I38" s="117">
        <f>VLOOKUP($B38,Rurality!$B$6:$H$40,6,FALSE)</f>
        <v>57873.727052050024</v>
      </c>
      <c r="J38" s="117">
        <f>VLOOKUP($B38,Education!$B$6:$H$40,6,FALSE)</f>
        <v>28771.515761144259</v>
      </c>
      <c r="K38" s="139">
        <f>VLOOKUP($B38,Language!$B$6:$H$40,6,FALSE)</f>
        <v>32081.32817842302</v>
      </c>
      <c r="L38" s="175">
        <f>VLOOKUP($B38,Matching!$B$7:$L$40,10,FALSE)</f>
        <v>0</v>
      </c>
      <c r="M38" s="176">
        <f>VLOOKUP($B38,Incentives!$B$7:$Y$40,23,FALSE)</f>
        <v>0</v>
      </c>
      <c r="N38" s="152">
        <f t="shared" si="0"/>
        <v>376017.42272316257</v>
      </c>
      <c r="O38" s="118">
        <f t="shared" si="1"/>
        <v>4.7002177840395329E-2</v>
      </c>
      <c r="P38" s="118">
        <f t="shared" si="2"/>
        <v>5.2304855490381448E-2</v>
      </c>
      <c r="Q38" s="153">
        <f t="shared" si="3"/>
        <v>1.6843640150652328</v>
      </c>
      <c r="R38" s="102"/>
      <c r="T38" s="22"/>
      <c r="U38" s="22"/>
    </row>
    <row r="39" spans="2:21" x14ac:dyDescent="0.25">
      <c r="B39" s="115" t="s">
        <v>72</v>
      </c>
      <c r="C39" s="116">
        <f>VLOOKUP($B39,'County Data'!$B$10:$C$46,2,FALSE)</f>
        <v>349120</v>
      </c>
      <c r="D39" s="138">
        <f>VLOOKUP($B39,Floor!$B$6:$M$45,4,FALSE)</f>
        <v>75000</v>
      </c>
      <c r="E39" s="117">
        <f>VLOOKUP($B39,Burden!$B$6:$H$40,6,FALSE)</f>
        <v>82541.10433617761</v>
      </c>
      <c r="F39" s="117">
        <f>VLOOKUP($B39,'Health Status'!$B$6:$H$40,6,FALSE)</f>
        <v>95536.929768896589</v>
      </c>
      <c r="G39" s="117">
        <f>VLOOKUP($B39,Ethnicity!$B$6:$H$40,6,FALSE)</f>
        <v>101680.32768552094</v>
      </c>
      <c r="H39" s="117">
        <f>VLOOKUP($B39,Poverty!$B$6:$H$40,6,FALSE)</f>
        <v>49285.865236416808</v>
      </c>
      <c r="I39" s="117">
        <f>VLOOKUP($B39,Rurality!$B$6:$H$40,6,FALSE)</f>
        <v>58987.420496557112</v>
      </c>
      <c r="J39" s="117">
        <f>VLOOKUP($B39,Education!$B$6:$H$40,6,FALSE)</f>
        <v>63938.359615542613</v>
      </c>
      <c r="K39" s="139">
        <f>VLOOKUP($B39,Language!$B$6:$H$40,6,FALSE)</f>
        <v>148608.73935859656</v>
      </c>
      <c r="L39" s="175">
        <f>VLOOKUP($B39,Matching!$B$7:$L$40,10,FALSE)</f>
        <v>0</v>
      </c>
      <c r="M39" s="176">
        <f>VLOOKUP($B39,Incentives!$B$7:$Y$40,23,FALSE)</f>
        <v>0</v>
      </c>
      <c r="N39" s="152">
        <f t="shared" si="0"/>
        <v>675578.74649770814</v>
      </c>
      <c r="O39" s="118">
        <f t="shared" si="1"/>
        <v>8.4447343312213527E-2</v>
      </c>
      <c r="P39" s="118">
        <f t="shared" si="2"/>
        <v>8.1798383572845246E-2</v>
      </c>
      <c r="Q39" s="153">
        <f t="shared" si="3"/>
        <v>1.9350903600415563</v>
      </c>
      <c r="R39" s="119">
        <f>SUM(N37:N39)/SUM(C37:C39)</f>
        <v>1.7496668869984022</v>
      </c>
      <c r="T39" s="22"/>
      <c r="U39" s="22"/>
    </row>
    <row r="40" spans="2:21" x14ac:dyDescent="0.25">
      <c r="B40" s="120" t="s">
        <v>68</v>
      </c>
      <c r="C40" s="121">
        <f>VLOOKUP($B40,'County Data'!$B$10:$C$46,2,FALSE)</f>
        <v>381365</v>
      </c>
      <c r="D40" s="140">
        <f>VLOOKUP($B40,Floor!$B$6:$M$45,4,FALSE)</f>
        <v>90000</v>
      </c>
      <c r="E40" s="122">
        <f>VLOOKUP($B40,Burden!$B$6:$H$40,6,FALSE)</f>
        <v>96591.924913159208</v>
      </c>
      <c r="F40" s="122">
        <f>VLOOKUP($B40,'Health Status'!$B$6:$H$40,6,FALSE)</f>
        <v>90228.605176621611</v>
      </c>
      <c r="G40" s="122">
        <f>VLOOKUP($B40,Ethnicity!$B$6:$H$40,6,FALSE)</f>
        <v>76236.468274985178</v>
      </c>
      <c r="H40" s="122">
        <f>VLOOKUP($B40,Poverty!$B$6:$H$40,6,FALSE)</f>
        <v>56416.905357976204</v>
      </c>
      <c r="I40" s="122">
        <f>VLOOKUP($B40,Rurality!$B$6:$H$40,6,FALSE)</f>
        <v>86078.01869328515</v>
      </c>
      <c r="J40" s="122">
        <f>VLOOKUP($B40,Education!$B$6:$H$40,6,FALSE)</f>
        <v>40828.61733802424</v>
      </c>
      <c r="K40" s="141">
        <f>VLOOKUP($B40,Language!$B$6:$H$40,6,FALSE)</f>
        <v>40226.47581671596</v>
      </c>
      <c r="L40" s="177">
        <f>VLOOKUP($B40,Matching!$B$7:$L$40,10,FALSE)</f>
        <v>0</v>
      </c>
      <c r="M40" s="178">
        <f>VLOOKUP($B40,Incentives!$B$7:$Y$40,23,FALSE)</f>
        <v>0</v>
      </c>
      <c r="N40" s="154">
        <f t="shared" si="0"/>
        <v>576607.01557076757</v>
      </c>
      <c r="O40" s="123">
        <f t="shared" si="1"/>
        <v>7.2075876946345957E-2</v>
      </c>
      <c r="P40" s="123">
        <f t="shared" si="2"/>
        <v>8.9353347133530381E-2</v>
      </c>
      <c r="Q40" s="155">
        <f t="shared" si="3"/>
        <v>1.5119557787703841</v>
      </c>
      <c r="R40" s="185"/>
      <c r="T40" s="22"/>
      <c r="U40" s="22"/>
    </row>
    <row r="41" spans="2:21" x14ac:dyDescent="0.25">
      <c r="B41" s="120" t="s">
        <v>52</v>
      </c>
      <c r="C41" s="121">
        <f>VLOOKUP($B41,'County Data'!$B$10:$C$46,2,FALSE)</f>
        <v>426515</v>
      </c>
      <c r="D41" s="140">
        <f>VLOOKUP($B41,Floor!$B$6:$M$45,4,FALSE)</f>
        <v>90000</v>
      </c>
      <c r="E41" s="122">
        <f>VLOOKUP($B41,Burden!$B$6:$H$40,6,FALSE)</f>
        <v>89778.208829258394</v>
      </c>
      <c r="F41" s="122">
        <f>VLOOKUP($B41,'Health Status'!$B$6:$H$40,6,FALSE)</f>
        <v>88144.990321726087</v>
      </c>
      <c r="G41" s="122">
        <f>VLOOKUP($B41,Ethnicity!$B$6:$H$40,6,FALSE)</f>
        <v>78454.62808508749</v>
      </c>
      <c r="H41" s="122">
        <f>VLOOKUP($B41,Poverty!$B$6:$H$40,6,FALSE)</f>
        <v>30332.09106006052</v>
      </c>
      <c r="I41" s="122">
        <f>VLOOKUP($B41,Rurality!$B$6:$H$40,6,FALSE)</f>
        <v>99569.485878761654</v>
      </c>
      <c r="J41" s="122">
        <f>VLOOKUP($B41,Education!$B$6:$H$40,6,FALSE)</f>
        <v>35639.113826163266</v>
      </c>
      <c r="K41" s="141">
        <f>VLOOKUP($B41,Language!$B$6:$H$40,6,FALSE)</f>
        <v>71299.051947856788</v>
      </c>
      <c r="L41" s="177">
        <f>VLOOKUP($B41,Matching!$B$7:$L$40,10,FALSE)</f>
        <v>0</v>
      </c>
      <c r="M41" s="178">
        <f>VLOOKUP($B41,Incentives!$B$7:$Y$40,23,FALSE)</f>
        <v>0</v>
      </c>
      <c r="N41" s="154">
        <f t="shared" si="0"/>
        <v>583217.56994891423</v>
      </c>
      <c r="O41" s="123">
        <f t="shared" si="1"/>
        <v>7.2902196243614284E-2</v>
      </c>
      <c r="P41" s="123">
        <f t="shared" si="2"/>
        <v>9.993193620981923E-2</v>
      </c>
      <c r="Q41" s="155">
        <f t="shared" si="3"/>
        <v>1.3674022483357309</v>
      </c>
      <c r="R41" s="102"/>
      <c r="T41" s="22"/>
      <c r="U41" s="22"/>
    </row>
    <row r="42" spans="2:21" x14ac:dyDescent="0.25">
      <c r="B42" s="120" t="s">
        <v>80</v>
      </c>
      <c r="C42" s="121">
        <f>VLOOKUP($B42,'County Data'!$B$10:$C$46,2,FALSE)</f>
        <v>620080</v>
      </c>
      <c r="D42" s="140">
        <f>VLOOKUP($B42,Floor!$B$6:$M$45,4,FALSE)</f>
        <v>90000</v>
      </c>
      <c r="E42" s="122">
        <f>VLOOKUP($B42,Burden!$B$6:$H$40,6,FALSE)</f>
        <v>98302.347636481019</v>
      </c>
      <c r="F42" s="122">
        <f>VLOOKUP($B42,'Health Status'!$B$6:$H$40,6,FALSE)</f>
        <v>133450.43506822671</v>
      </c>
      <c r="G42" s="122">
        <f>VLOOKUP($B42,Ethnicity!$B$6:$H$40,6,FALSE)</f>
        <v>227482.24928466423</v>
      </c>
      <c r="H42" s="122">
        <f>VLOOKUP($B42,Poverty!$B$6:$H$40,6,FALSE)</f>
        <v>52138.803980989978</v>
      </c>
      <c r="I42" s="122">
        <f>VLOOKUP($B42,Rurality!$B$6:$H$40,6,FALSE)</f>
        <v>44786.706976325368</v>
      </c>
      <c r="J42" s="122">
        <f>VLOOKUP($B42,Education!$B$6:$H$40,6,FALSE)</f>
        <v>64671.748606429981</v>
      </c>
      <c r="K42" s="141">
        <f>VLOOKUP($B42,Language!$B$6:$H$40,6,FALSE)</f>
        <v>229824.75364269916</v>
      </c>
      <c r="L42" s="177">
        <f>VLOOKUP($B42,Matching!$B$7:$L$40,10,FALSE)</f>
        <v>0</v>
      </c>
      <c r="M42" s="178">
        <f>VLOOKUP($B42,Incentives!$B$7:$Y$40,23,FALSE)</f>
        <v>0</v>
      </c>
      <c r="N42" s="154">
        <f t="shared" si="0"/>
        <v>940657.04519581632</v>
      </c>
      <c r="O42" s="123">
        <f t="shared" si="1"/>
        <v>0.11758213064947705</v>
      </c>
      <c r="P42" s="123">
        <f t="shared" si="2"/>
        <v>0.14528397595626111</v>
      </c>
      <c r="Q42" s="155">
        <f t="shared" si="3"/>
        <v>1.5169930415362798</v>
      </c>
      <c r="R42" s="102"/>
      <c r="T42" s="22"/>
      <c r="U42" s="22"/>
    </row>
    <row r="43" spans="2:21" x14ac:dyDescent="0.25">
      <c r="B43" s="120" t="s">
        <v>74</v>
      </c>
      <c r="C43" s="121">
        <f>VLOOKUP($B43,'County Data'!$B$10:$C$46,2,FALSE)</f>
        <v>829560</v>
      </c>
      <c r="D43" s="140">
        <f>VLOOKUP($B43,Floor!$B$6:$M$45,4,FALSE)</f>
        <v>90000</v>
      </c>
      <c r="E43" s="122">
        <f>VLOOKUP($B43,Burden!$B$6:$H$40,6,FALSE)</f>
        <v>191854.87911066771</v>
      </c>
      <c r="F43" s="122">
        <f>VLOOKUP($B43,'Health Status'!$B$6:$H$40,6,FALSE)</f>
        <v>190357.06575510124</v>
      </c>
      <c r="G43" s="122">
        <f>VLOOKUP($B43,Ethnicity!$B$6:$H$40,6,FALSE)</f>
        <v>283001.26552075602</v>
      </c>
      <c r="H43" s="122">
        <f>VLOOKUP($B43,Poverty!$B$6:$H$40,6,FALSE)</f>
        <v>99872.735837734101</v>
      </c>
      <c r="I43" s="122">
        <f>VLOOKUP($B43,Rurality!$B$6:$H$40,6,FALSE)</f>
        <v>13909.276346561446</v>
      </c>
      <c r="J43" s="122">
        <f>VLOOKUP($B43,Education!$B$6:$H$40,6,FALSE)</f>
        <v>89721.342734528749</v>
      </c>
      <c r="K43" s="141">
        <f>VLOOKUP($B43,Language!$B$6:$H$40,6,FALSE)</f>
        <v>285849.5950442258</v>
      </c>
      <c r="L43" s="177">
        <f>VLOOKUP($B43,Matching!$B$7:$L$40,10,FALSE)</f>
        <v>0</v>
      </c>
      <c r="M43" s="178">
        <f>VLOOKUP($B43,Incentives!$B$7:$Y$40,23,FALSE)</f>
        <v>0</v>
      </c>
      <c r="N43" s="154">
        <f t="shared" si="0"/>
        <v>1244566.1603495751</v>
      </c>
      <c r="O43" s="123">
        <f t="shared" si="1"/>
        <v>0.1555707700436969</v>
      </c>
      <c r="P43" s="123">
        <f t="shared" si="2"/>
        <v>0.19436488049005929</v>
      </c>
      <c r="Q43" s="155">
        <f t="shared" si="3"/>
        <v>1.5002726268739754</v>
      </c>
      <c r="R43" s="124">
        <f>SUM(N40:N43)/SUM(C40:C43)</f>
        <v>1.4817356174319929</v>
      </c>
      <c r="T43" s="22"/>
      <c r="U43" s="22"/>
    </row>
    <row r="44" spans="2:21" ht="15.75" thickBot="1" x14ac:dyDescent="0.3">
      <c r="B44" s="125" t="s">
        <v>2</v>
      </c>
      <c r="C44" s="126">
        <f t="shared" ref="C44:H44" si="4">SUM(C10:C43)</f>
        <v>4268055</v>
      </c>
      <c r="D44" s="142">
        <f t="shared" si="4"/>
        <v>1860000</v>
      </c>
      <c r="E44" s="127">
        <f t="shared" si="4"/>
        <v>1023333.3333333329</v>
      </c>
      <c r="F44" s="127">
        <f t="shared" si="4"/>
        <v>1023333.3333333336</v>
      </c>
      <c r="G44" s="127">
        <f t="shared" si="4"/>
        <v>1023333.3333333336</v>
      </c>
      <c r="H44" s="127">
        <f t="shared" si="4"/>
        <v>511666.66666666663</v>
      </c>
      <c r="I44" s="127">
        <f t="shared" ref="I44:J44" si="5">SUM(I10:I43)</f>
        <v>1023333.3333333337</v>
      </c>
      <c r="J44" s="127">
        <f t="shared" si="5"/>
        <v>511666.66666666663</v>
      </c>
      <c r="K44" s="143">
        <f t="shared" ref="K44:P44" si="6">SUM(K10:K43)</f>
        <v>1023333.3333333333</v>
      </c>
      <c r="L44" s="179">
        <f t="shared" si="6"/>
        <v>0</v>
      </c>
      <c r="M44" s="180">
        <f t="shared" si="6"/>
        <v>0</v>
      </c>
      <c r="N44" s="142">
        <f t="shared" si="6"/>
        <v>7999999.9999999991</v>
      </c>
      <c r="O44" s="128">
        <f t="shared" si="6"/>
        <v>1.0000000000000002</v>
      </c>
      <c r="P44" s="128">
        <f t="shared" si="6"/>
        <v>0.99999999999999989</v>
      </c>
      <c r="Q44" s="156">
        <f t="shared" si="3"/>
        <v>1.8743900910367834</v>
      </c>
      <c r="R44" s="129">
        <f>N44/C44</f>
        <v>1.8743900910367834</v>
      </c>
      <c r="U44" s="22"/>
    </row>
    <row r="45" spans="2:21" ht="15.75" thickTop="1" x14ac:dyDescent="0.25">
      <c r="N45" s="38"/>
    </row>
    <row r="46" spans="2:21" ht="17.25" x14ac:dyDescent="0.25">
      <c r="B46" s="190" t="s">
        <v>148</v>
      </c>
      <c r="L46" s="209" t="s">
        <v>43</v>
      </c>
      <c r="M46" s="209"/>
      <c r="N46" s="209"/>
      <c r="O46" s="209"/>
      <c r="P46" s="209"/>
    </row>
    <row r="47" spans="2:21" ht="17.25" x14ac:dyDescent="0.25">
      <c r="B47" s="191" t="s">
        <v>136</v>
      </c>
      <c r="C47" s="39"/>
      <c r="D47" s="39"/>
      <c r="E47" s="39"/>
      <c r="F47" s="39"/>
      <c r="L47" s="41" t="s">
        <v>44</v>
      </c>
      <c r="M47" s="42" t="s">
        <v>45</v>
      </c>
      <c r="N47" s="43" t="s">
        <v>46</v>
      </c>
      <c r="O47" s="44" t="s">
        <v>47</v>
      </c>
      <c r="P47" s="45" t="s">
        <v>48</v>
      </c>
    </row>
    <row r="48" spans="2:21" ht="17.25" x14ac:dyDescent="0.25">
      <c r="B48" s="191" t="s">
        <v>137</v>
      </c>
      <c r="C48" s="25"/>
      <c r="L48" t="s">
        <v>121</v>
      </c>
      <c r="M48" t="s">
        <v>122</v>
      </c>
      <c r="N48" t="s">
        <v>123</v>
      </c>
      <c r="O48" t="s">
        <v>124</v>
      </c>
      <c r="P48" t="s">
        <v>125</v>
      </c>
    </row>
    <row r="49" spans="2:14" ht="17.25" x14ac:dyDescent="0.25">
      <c r="B49" s="191" t="s">
        <v>135</v>
      </c>
      <c r="C49" s="25"/>
      <c r="N49" s="38"/>
    </row>
    <row r="50" spans="2:14" ht="17.25" x14ac:dyDescent="0.25">
      <c r="B50" s="191" t="s">
        <v>134</v>
      </c>
      <c r="C50" s="25"/>
    </row>
  </sheetData>
  <sortState xmlns:xlrd2="http://schemas.microsoft.com/office/spreadsheetml/2017/richdata2" ref="T10:U43">
    <sortCondition ref="U10:U43"/>
  </sortState>
  <mergeCells count="4">
    <mergeCell ref="L46:P46"/>
    <mergeCell ref="D8:K8"/>
    <mergeCell ref="L8:M8"/>
    <mergeCell ref="N8:Q8"/>
  </mergeCells>
  <pageMargins left="0.7" right="0.7" top="0.75" bottom="0.75" header="0.3" footer="0.3"/>
  <pageSetup paperSize="5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zoomScaleNormal="100" workbookViewId="0">
      <selection activeCell="B3" sqref="B3"/>
    </sheetView>
  </sheetViews>
  <sheetFormatPr defaultRowHeight="15" x14ac:dyDescent="0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21" ht="18.75" x14ac:dyDescent="0.3">
      <c r="B1" s="24" t="str">
        <f>Input!$B$1</f>
        <v>PHAB Funding and Incentives Subcommittee</v>
      </c>
    </row>
    <row r="2" spans="2:21" ht="15.75" x14ac:dyDescent="0.25">
      <c r="B2" s="23" t="str">
        <f>Input!$B$2</f>
        <v>Subcommittee Members: Carrie Brogoitti, Bob Dannenhoffer, Jeff Luck, Alejandro Queral, Akiko Saito</v>
      </c>
    </row>
    <row r="3" spans="2:21" ht="15.75" x14ac:dyDescent="0.25">
      <c r="B3" s="23" t="str">
        <f>Input!$B$3</f>
        <v>Updated March, 2021</v>
      </c>
    </row>
    <row r="4" spans="2:21" ht="15" customHeight="1" x14ac:dyDescent="0.25"/>
    <row r="5" spans="2:21" x14ac:dyDescent="0.25">
      <c r="B5" t="s">
        <v>21</v>
      </c>
      <c r="C5" s="9">
        <f>Input!C5</f>
        <v>8000000</v>
      </c>
    </row>
    <row r="6" spans="2:21" x14ac:dyDescent="0.2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30" x14ac:dyDescent="0.25">
      <c r="B7" s="67" t="s">
        <v>7</v>
      </c>
      <c r="C7" s="188" t="s">
        <v>1</v>
      </c>
      <c r="D7" s="68" t="s">
        <v>20</v>
      </c>
      <c r="E7" s="188" t="s">
        <v>8</v>
      </c>
      <c r="F7" s="188" t="s">
        <v>9</v>
      </c>
      <c r="G7" s="188" t="s">
        <v>18</v>
      </c>
      <c r="H7" s="188" t="s">
        <v>83</v>
      </c>
      <c r="I7" s="188" t="s">
        <v>84</v>
      </c>
      <c r="J7" s="188" t="s">
        <v>40</v>
      </c>
      <c r="K7" s="188" t="s">
        <v>19</v>
      </c>
      <c r="L7" s="186" t="s">
        <v>111</v>
      </c>
      <c r="M7" s="186" t="s">
        <v>95</v>
      </c>
      <c r="N7" s="186" t="s">
        <v>99</v>
      </c>
      <c r="O7" s="186" t="s">
        <v>100</v>
      </c>
      <c r="P7" s="187" t="s">
        <v>101</v>
      </c>
    </row>
    <row r="8" spans="2:21" x14ac:dyDescent="0.25">
      <c r="B8" s="61" t="s">
        <v>10</v>
      </c>
      <c r="C8" s="62">
        <f>Input!C15</f>
        <v>0</v>
      </c>
      <c r="D8" s="62">
        <f>Input!C7</f>
        <v>0.23250000000000001</v>
      </c>
      <c r="E8" s="62">
        <f>Input!C16</f>
        <v>0.12791666666666665</v>
      </c>
      <c r="F8" s="62">
        <f>Input!C17</f>
        <v>0.12791666666666665</v>
      </c>
      <c r="G8" s="62">
        <f>Input!C18</f>
        <v>0.12791666666666665</v>
      </c>
      <c r="H8" s="62">
        <f>Input!C20</f>
        <v>6.3958333333333325E-2</v>
      </c>
      <c r="I8" s="62">
        <f>Input!C19</f>
        <v>0.12791666666666665</v>
      </c>
      <c r="J8" s="62">
        <f>Input!C21</f>
        <v>6.3958333333333325E-2</v>
      </c>
      <c r="K8" s="62">
        <f>Input!C22</f>
        <v>0.12791666666666665</v>
      </c>
      <c r="L8" s="62">
        <f>Input!C25</f>
        <v>0</v>
      </c>
      <c r="M8" s="62">
        <f>Input!C31</f>
        <v>0</v>
      </c>
      <c r="N8" s="62">
        <f>Input!C32</f>
        <v>0</v>
      </c>
      <c r="O8" s="62">
        <f>Input!C33</f>
        <v>0</v>
      </c>
      <c r="P8" s="63">
        <f>Input!C34</f>
        <v>0</v>
      </c>
      <c r="Q8" s="189">
        <f>1-SUM(C8:P8)</f>
        <v>0</v>
      </c>
    </row>
    <row r="9" spans="2:21" x14ac:dyDescent="0.25">
      <c r="B9" s="64" t="s">
        <v>11</v>
      </c>
      <c r="C9" s="65">
        <f>$C$5*C$8</f>
        <v>0</v>
      </c>
      <c r="D9" s="65">
        <f t="shared" ref="D9:P9" si="0">$C$5*D$8</f>
        <v>1860000</v>
      </c>
      <c r="E9" s="65">
        <f t="shared" si="0"/>
        <v>1023333.3333333333</v>
      </c>
      <c r="F9" s="65">
        <f t="shared" si="0"/>
        <v>1023333.3333333333</v>
      </c>
      <c r="G9" s="65">
        <f t="shared" si="0"/>
        <v>1023333.3333333333</v>
      </c>
      <c r="H9" s="65">
        <f t="shared" si="0"/>
        <v>511666.66666666663</v>
      </c>
      <c r="I9" s="65">
        <f t="shared" si="0"/>
        <v>1023333.3333333333</v>
      </c>
      <c r="J9" s="65">
        <f t="shared" si="0"/>
        <v>511666.66666666663</v>
      </c>
      <c r="K9" s="65">
        <f t="shared" si="0"/>
        <v>1023333.3333333333</v>
      </c>
      <c r="L9" s="65">
        <f t="shared" si="0"/>
        <v>0</v>
      </c>
      <c r="M9" s="65">
        <f t="shared" si="0"/>
        <v>0</v>
      </c>
      <c r="N9" s="65">
        <f t="shared" si="0"/>
        <v>0</v>
      </c>
      <c r="O9" s="65">
        <f t="shared" si="0"/>
        <v>0</v>
      </c>
      <c r="P9" s="66">
        <f t="shared" si="0"/>
        <v>0</v>
      </c>
    </row>
    <row r="10" spans="2:21" x14ac:dyDescent="0.25">
      <c r="B10" s="17" t="s">
        <v>50</v>
      </c>
      <c r="C10" s="158">
        <v>16910</v>
      </c>
      <c r="D10" s="55" t="str">
        <f>IF(C10&gt;375000,"Extra Large",IF(C10&gt;150000,"Large",IF(C10&gt;75000,"Medium",IF(C10&gt;20000,"Small","Extra Small"))))</f>
        <v>Extra Small</v>
      </c>
      <c r="E10" s="161">
        <v>8.6297479999999996E-2</v>
      </c>
      <c r="F10" s="161">
        <v>0.18899999999999997</v>
      </c>
      <c r="G10" s="161">
        <v>7.063313313313313E-2</v>
      </c>
      <c r="H10" s="164">
        <v>0.26671850699844479</v>
      </c>
      <c r="I10" s="35">
        <v>0.41</v>
      </c>
      <c r="J10" s="161">
        <v>0.10388846896783405</v>
      </c>
      <c r="K10" s="161">
        <v>1.370043472533263E-2</v>
      </c>
      <c r="L10" s="83">
        <v>361764</v>
      </c>
      <c r="M10" s="77" t="s">
        <v>4</v>
      </c>
      <c r="N10" s="77"/>
      <c r="O10" s="77"/>
      <c r="P10" s="78"/>
      <c r="Q10" s="7"/>
      <c r="T10" s="203"/>
      <c r="U10" s="203"/>
    </row>
    <row r="11" spans="2:21" x14ac:dyDescent="0.25">
      <c r="B11" s="18" t="s">
        <v>51</v>
      </c>
      <c r="C11" s="159">
        <v>94665</v>
      </c>
      <c r="D11" s="56" t="str">
        <f t="shared" ref="D11:D46" si="1">IF(C11&gt;375000,"Extra Large",IF(C11&gt;150000,"Large",IF(C11&gt;75000,"Medium",IF(C11&gt;20000,"Small","Extra Small"))))</f>
        <v>Medium</v>
      </c>
      <c r="E11" s="162">
        <v>4.0668929999999999E-2</v>
      </c>
      <c r="F11" s="162">
        <v>0.113</v>
      </c>
      <c r="G11" s="162">
        <v>0.14361773223435065</v>
      </c>
      <c r="H11" s="165">
        <v>0.2787920514707628</v>
      </c>
      <c r="I11" s="36">
        <v>0.188</v>
      </c>
      <c r="J11" s="162">
        <v>4.5600029431241265E-2</v>
      </c>
      <c r="K11" s="162">
        <v>4.7645036926935759E-2</v>
      </c>
      <c r="L11" s="84">
        <v>1791995</v>
      </c>
      <c r="M11" s="79" t="s">
        <v>4</v>
      </c>
      <c r="N11" s="79"/>
      <c r="O11" s="79"/>
      <c r="P11" s="80"/>
      <c r="Q11" s="7"/>
      <c r="T11" s="203"/>
      <c r="U11" s="203"/>
    </row>
    <row r="12" spans="2:21" x14ac:dyDescent="0.25">
      <c r="B12" s="18" t="s">
        <v>52</v>
      </c>
      <c r="C12" s="159">
        <v>426515</v>
      </c>
      <c r="D12" s="56" t="str">
        <f t="shared" si="1"/>
        <v>Extra Large</v>
      </c>
      <c r="E12" s="162">
        <v>5.6630379999999994E-2</v>
      </c>
      <c r="F12" s="162">
        <v>0.14499999999999999</v>
      </c>
      <c r="G12" s="162">
        <v>0.11963882618510158</v>
      </c>
      <c r="H12" s="165">
        <v>0.13811687940583775</v>
      </c>
      <c r="I12" s="36">
        <v>0.18099999999999999</v>
      </c>
      <c r="J12" s="162">
        <v>6.7258416497069859E-2</v>
      </c>
      <c r="K12" s="162">
        <v>4.0874504898895145E-2</v>
      </c>
      <c r="L12" s="84">
        <v>5019520</v>
      </c>
      <c r="M12" s="79" t="s">
        <v>4</v>
      </c>
      <c r="N12" s="79"/>
      <c r="O12" s="79"/>
      <c r="P12" s="80"/>
      <c r="Q12" s="7"/>
      <c r="T12" s="203"/>
      <c r="U12" s="203"/>
    </row>
    <row r="13" spans="2:21" x14ac:dyDescent="0.25">
      <c r="B13" s="18" t="s">
        <v>53</v>
      </c>
      <c r="C13" s="159">
        <v>39455</v>
      </c>
      <c r="D13" s="56" t="str">
        <f t="shared" si="1"/>
        <v>Small</v>
      </c>
      <c r="E13" s="162">
        <v>8.1797190000000006E-2</v>
      </c>
      <c r="F13" s="162">
        <v>0.15</v>
      </c>
      <c r="G13" s="162">
        <v>8.7962242622270634E-2</v>
      </c>
      <c r="H13" s="165">
        <v>0.22943563260789376</v>
      </c>
      <c r="I13" s="36">
        <v>0.39</v>
      </c>
      <c r="J13" s="162">
        <v>8.4374440665831399E-2</v>
      </c>
      <c r="K13" s="162">
        <v>3.0615877536489856E-2</v>
      </c>
      <c r="L13" s="84">
        <v>446000</v>
      </c>
      <c r="M13" s="79" t="s">
        <v>4</v>
      </c>
      <c r="N13" s="79"/>
      <c r="O13" s="79"/>
      <c r="P13" s="80"/>
      <c r="Q13" s="7"/>
      <c r="T13" s="203"/>
      <c r="U13" s="203"/>
    </row>
    <row r="14" spans="2:21" x14ac:dyDescent="0.25">
      <c r="B14" s="18" t="s">
        <v>54</v>
      </c>
      <c r="C14" s="159">
        <v>53280</v>
      </c>
      <c r="D14" s="56" t="str">
        <f t="shared" si="1"/>
        <v>Small</v>
      </c>
      <c r="E14" s="162">
        <v>7.1908329999999993E-2</v>
      </c>
      <c r="F14" s="162">
        <v>0.20499999999999999</v>
      </c>
      <c r="G14" s="162">
        <v>7.1640675699592926E-2</v>
      </c>
      <c r="H14" s="165">
        <v>0.21043750992536128</v>
      </c>
      <c r="I14" s="36">
        <v>0.436</v>
      </c>
      <c r="J14" s="162">
        <v>9.5876003321339609E-2</v>
      </c>
      <c r="K14" s="162">
        <v>1.3475133196508903E-2</v>
      </c>
      <c r="L14" s="84">
        <v>615328</v>
      </c>
      <c r="M14" s="79" t="s">
        <v>4</v>
      </c>
      <c r="N14" s="79"/>
      <c r="O14" s="79"/>
      <c r="P14" s="80"/>
      <c r="Q14" s="7"/>
      <c r="T14" s="203"/>
      <c r="U14" s="203"/>
    </row>
    <row r="15" spans="2:21" x14ac:dyDescent="0.25">
      <c r="B15" s="18" t="s">
        <v>55</v>
      </c>
      <c r="C15" s="159">
        <v>63315</v>
      </c>
      <c r="D15" s="56" t="str">
        <f t="shared" si="1"/>
        <v>Small</v>
      </c>
      <c r="E15" s="162">
        <v>9.8415849999999985E-2</v>
      </c>
      <c r="F15" s="162">
        <v>0.214</v>
      </c>
      <c r="G15" s="162">
        <v>0.11684147343147785</v>
      </c>
      <c r="H15" s="165">
        <v>0.29889760747123673</v>
      </c>
      <c r="I15" s="36">
        <v>0.38400000000000001</v>
      </c>
      <c r="J15" s="162">
        <v>0.11153339844579388</v>
      </c>
      <c r="K15" s="162">
        <v>1.4799926913941166E-2</v>
      </c>
      <c r="L15" s="84">
        <v>332653</v>
      </c>
      <c r="M15" s="79" t="s">
        <v>4</v>
      </c>
      <c r="N15" s="79"/>
      <c r="O15" s="79"/>
      <c r="P15" s="80"/>
      <c r="Q15" s="7"/>
      <c r="T15" s="203"/>
      <c r="U15" s="203"/>
    </row>
    <row r="16" spans="2:21" x14ac:dyDescent="0.25">
      <c r="B16" s="18" t="s">
        <v>56</v>
      </c>
      <c r="C16" s="159">
        <v>23440</v>
      </c>
      <c r="D16" s="56" t="str">
        <f t="shared" si="1"/>
        <v>Small</v>
      </c>
      <c r="E16" s="162">
        <v>8.3662790000000001E-2</v>
      </c>
      <c r="F16" s="162">
        <v>0.23</v>
      </c>
      <c r="G16" s="162">
        <v>7.2167256122129209E-2</v>
      </c>
      <c r="H16" s="165">
        <v>0.26902958152958151</v>
      </c>
      <c r="I16" s="36">
        <v>0.48</v>
      </c>
      <c r="J16" s="162">
        <v>0.12438408845090734</v>
      </c>
      <c r="K16" s="162">
        <v>1.2850082372322899E-2</v>
      </c>
      <c r="L16" s="84">
        <v>1584688</v>
      </c>
      <c r="M16" s="79" t="s">
        <v>4</v>
      </c>
      <c r="N16" s="79"/>
      <c r="O16" s="79"/>
      <c r="P16" s="80"/>
      <c r="Q16" s="7"/>
      <c r="T16" s="203"/>
      <c r="U16" s="203"/>
    </row>
    <row r="17" spans="2:21" x14ac:dyDescent="0.25">
      <c r="B17" s="18" t="s">
        <v>57</v>
      </c>
      <c r="C17" s="159">
        <v>23005</v>
      </c>
      <c r="D17" s="56" t="str">
        <f t="shared" si="1"/>
        <v>Small</v>
      </c>
      <c r="E17" s="162">
        <v>9.8974709999999994E-2</v>
      </c>
      <c r="F17" s="162">
        <v>0.20399999999999999</v>
      </c>
      <c r="G17" s="162">
        <v>9.2726707246634385E-2</v>
      </c>
      <c r="H17" s="165">
        <v>0.24108864278348205</v>
      </c>
      <c r="I17" s="36">
        <v>0.38700000000000001</v>
      </c>
      <c r="J17" s="162">
        <v>0.10947055258663435</v>
      </c>
      <c r="K17" s="162">
        <v>1.3102458447150332E-2</v>
      </c>
      <c r="L17" s="84">
        <v>703878</v>
      </c>
      <c r="M17" s="79" t="s">
        <v>4</v>
      </c>
      <c r="N17" s="79"/>
      <c r="O17" s="79"/>
      <c r="P17" s="80"/>
      <c r="Q17" s="7"/>
      <c r="T17" s="203"/>
      <c r="U17" s="203"/>
    </row>
    <row r="18" spans="2:21" x14ac:dyDescent="0.25">
      <c r="B18" s="18" t="s">
        <v>58</v>
      </c>
      <c r="C18" s="159">
        <v>197015</v>
      </c>
      <c r="D18" s="56" t="str">
        <f t="shared" si="1"/>
        <v>Large</v>
      </c>
      <c r="E18" s="162">
        <v>5.375133E-2</v>
      </c>
      <c r="F18" s="162">
        <v>0.13699999999999998</v>
      </c>
      <c r="G18" s="162">
        <v>6.5085252435783877E-2</v>
      </c>
      <c r="H18" s="165">
        <v>0.18767801513128615</v>
      </c>
      <c r="I18" s="36">
        <v>0.27600000000000002</v>
      </c>
      <c r="J18" s="162">
        <v>6.4709260039046049E-2</v>
      </c>
      <c r="K18" s="162">
        <v>2.1095839220861116E-2</v>
      </c>
      <c r="L18" s="84">
        <v>3814900</v>
      </c>
      <c r="M18" s="79" t="s">
        <v>4</v>
      </c>
      <c r="N18" s="79"/>
      <c r="O18" s="79"/>
      <c r="P18" s="80"/>
      <c r="Q18" s="7"/>
      <c r="T18" s="203"/>
      <c r="U18" s="203"/>
    </row>
    <row r="19" spans="2:21" x14ac:dyDescent="0.25">
      <c r="B19" s="18" t="s">
        <v>59</v>
      </c>
      <c r="C19" s="159">
        <v>112530</v>
      </c>
      <c r="D19" s="56" t="str">
        <f t="shared" si="1"/>
        <v>Medium</v>
      </c>
      <c r="E19" s="162">
        <v>0.10093575</v>
      </c>
      <c r="F19" s="162">
        <v>0.222</v>
      </c>
      <c r="G19" s="162">
        <v>7.483175318261126E-2</v>
      </c>
      <c r="H19" s="165">
        <v>0.27764111677500819</v>
      </c>
      <c r="I19" s="36">
        <v>0.41199999999999998</v>
      </c>
      <c r="J19" s="162">
        <v>0.10892266853651207</v>
      </c>
      <c r="K19" s="162">
        <v>1.1854937610714216E-2</v>
      </c>
      <c r="L19" s="84">
        <v>444652</v>
      </c>
      <c r="M19" s="79" t="s">
        <v>4</v>
      </c>
      <c r="N19" s="79"/>
      <c r="O19" s="79"/>
      <c r="P19" s="80"/>
      <c r="Q19" s="7"/>
      <c r="T19" s="203"/>
      <c r="U19" s="203"/>
    </row>
    <row r="20" spans="2:21" x14ac:dyDescent="0.25">
      <c r="B20" s="27" t="s">
        <v>91</v>
      </c>
      <c r="C20" s="53">
        <v>1990</v>
      </c>
      <c r="D20" s="53" t="str">
        <f t="shared" si="1"/>
        <v>Extra Small</v>
      </c>
      <c r="E20" s="54"/>
      <c r="F20" s="54"/>
      <c r="G20" s="54">
        <v>7.0267435762978503E-2</v>
      </c>
      <c r="H20" s="182">
        <v>0.2425039452919516</v>
      </c>
      <c r="I20" s="54"/>
      <c r="J20" s="54">
        <v>9.668508287292818E-2</v>
      </c>
      <c r="K20" s="54">
        <v>2.7442371020856202E-2</v>
      </c>
      <c r="L20" s="192"/>
      <c r="M20" s="192"/>
      <c r="N20" s="192"/>
      <c r="O20" s="192"/>
      <c r="P20" s="193"/>
      <c r="Q20" s="7"/>
      <c r="T20" s="203"/>
      <c r="U20" s="203"/>
    </row>
    <row r="21" spans="2:21" x14ac:dyDescent="0.25">
      <c r="B21" s="18" t="s">
        <v>60</v>
      </c>
      <c r="C21" s="159">
        <v>7315</v>
      </c>
      <c r="D21" s="56" t="str">
        <f t="shared" si="1"/>
        <v>Extra Small</v>
      </c>
      <c r="E21" s="162">
        <v>7.9334200000000007E-2</v>
      </c>
      <c r="F21" s="162">
        <v>0.155</v>
      </c>
      <c r="G21" s="162">
        <v>5.3181122093832661E-2</v>
      </c>
      <c r="H21" s="165">
        <v>0.27554486272289841</v>
      </c>
      <c r="I21" s="36">
        <v>1</v>
      </c>
      <c r="J21" s="162">
        <v>0.11228389444949954</v>
      </c>
      <c r="K21" s="162">
        <v>6.2718786464410732E-3</v>
      </c>
      <c r="L21" s="84">
        <v>0</v>
      </c>
      <c r="M21" s="79" t="s">
        <v>4</v>
      </c>
      <c r="N21" s="79"/>
      <c r="O21" s="79"/>
      <c r="P21" s="80"/>
      <c r="Q21" s="7"/>
      <c r="T21" s="203"/>
      <c r="U21" s="203"/>
    </row>
    <row r="22" spans="2:21" x14ac:dyDescent="0.25">
      <c r="B22" s="18" t="s">
        <v>61</v>
      </c>
      <c r="C22" s="159">
        <v>7280</v>
      </c>
      <c r="D22" s="56" t="str">
        <f t="shared" si="1"/>
        <v>Extra Small</v>
      </c>
      <c r="E22" s="162">
        <v>9.5802139999999994E-2</v>
      </c>
      <c r="F22" s="162">
        <v>0.122</v>
      </c>
      <c r="G22" s="162">
        <v>9.0896513558384059E-2</v>
      </c>
      <c r="H22" s="165">
        <v>0.27595435976898153</v>
      </c>
      <c r="I22" s="36">
        <v>0.443</v>
      </c>
      <c r="J22" s="162">
        <v>0.1021883920076118</v>
      </c>
      <c r="K22" s="162">
        <v>1.5169194865810968E-2</v>
      </c>
      <c r="L22" s="84">
        <v>172270</v>
      </c>
      <c r="M22" s="79" t="s">
        <v>4</v>
      </c>
      <c r="N22" s="79"/>
      <c r="O22" s="79"/>
      <c r="P22" s="80"/>
      <c r="Q22" s="7"/>
      <c r="T22" s="203"/>
      <c r="U22" s="203"/>
    </row>
    <row r="23" spans="2:21" x14ac:dyDescent="0.25">
      <c r="B23" s="18" t="s">
        <v>62</v>
      </c>
      <c r="C23" s="159">
        <v>25640</v>
      </c>
      <c r="D23" s="56" t="str">
        <f t="shared" si="1"/>
        <v>Small</v>
      </c>
      <c r="E23" s="162">
        <v>4.750973E-2</v>
      </c>
      <c r="F23" s="162">
        <v>0.16399999999999998</v>
      </c>
      <c r="G23" s="162">
        <v>0.13401928148372313</v>
      </c>
      <c r="H23" s="165">
        <v>0.2071000743234381</v>
      </c>
      <c r="I23" s="36">
        <v>0.52200000000000002</v>
      </c>
      <c r="J23" s="162">
        <v>0.18945337620578778</v>
      </c>
      <c r="K23" s="162">
        <v>0.15446440944154463</v>
      </c>
      <c r="L23" s="84">
        <v>729676</v>
      </c>
      <c r="M23" s="79" t="s">
        <v>4</v>
      </c>
      <c r="N23" s="79"/>
      <c r="O23" s="79"/>
      <c r="P23" s="80"/>
      <c r="Q23" s="7"/>
      <c r="T23" s="203"/>
      <c r="U23" s="203"/>
    </row>
    <row r="24" spans="2:21" x14ac:dyDescent="0.25">
      <c r="B24" s="18" t="s">
        <v>63</v>
      </c>
      <c r="C24" s="159">
        <v>223240</v>
      </c>
      <c r="D24" s="56" t="str">
        <f t="shared" si="1"/>
        <v>Large</v>
      </c>
      <c r="E24" s="162">
        <v>7.6263950000000011E-2</v>
      </c>
      <c r="F24" s="162">
        <v>0.184</v>
      </c>
      <c r="G24" s="162">
        <v>8.6331539621126913E-2</v>
      </c>
      <c r="H24" s="165">
        <v>0.26824137573224915</v>
      </c>
      <c r="I24" s="36">
        <v>0.20100000000000001</v>
      </c>
      <c r="J24" s="162">
        <v>0.10373965023348289</v>
      </c>
      <c r="K24" s="162">
        <v>3.5138513530205188E-2</v>
      </c>
      <c r="L24" s="84">
        <v>2298330</v>
      </c>
      <c r="M24" s="79" t="s">
        <v>4</v>
      </c>
      <c r="N24" s="79"/>
      <c r="O24" s="79"/>
      <c r="P24" s="80"/>
      <c r="Q24" s="7"/>
      <c r="T24" s="203"/>
      <c r="U24" s="203"/>
    </row>
    <row r="25" spans="2:21" x14ac:dyDescent="0.25">
      <c r="B25" s="18" t="s">
        <v>64</v>
      </c>
      <c r="C25" s="159">
        <v>24105</v>
      </c>
      <c r="D25" s="56" t="str">
        <f t="shared" si="1"/>
        <v>Small</v>
      </c>
      <c r="E25" s="162">
        <v>8.5968059999999999E-2</v>
      </c>
      <c r="F25" s="162">
        <v>0.13699999999999998</v>
      </c>
      <c r="G25" s="162">
        <v>0.28928833772631035</v>
      </c>
      <c r="H25" s="165">
        <v>0.30349789583239062</v>
      </c>
      <c r="I25" s="36">
        <v>0.63100000000000001</v>
      </c>
      <c r="J25" s="162">
        <v>0.14004805260495701</v>
      </c>
      <c r="K25" s="162">
        <v>4.9472082622527551E-2</v>
      </c>
      <c r="L25" s="84">
        <v>261557</v>
      </c>
      <c r="M25" s="79" t="s">
        <v>4</v>
      </c>
      <c r="N25" s="79"/>
      <c r="O25" s="79"/>
      <c r="P25" s="80"/>
      <c r="Q25" s="7"/>
      <c r="T25" s="203"/>
      <c r="U25" s="203"/>
    </row>
    <row r="26" spans="2:21" x14ac:dyDescent="0.25">
      <c r="B26" s="18" t="s">
        <v>65</v>
      </c>
      <c r="C26" s="159">
        <v>86560</v>
      </c>
      <c r="D26" s="56" t="str">
        <f t="shared" si="1"/>
        <v>Medium</v>
      </c>
      <c r="E26" s="162">
        <v>9.9210980000000004E-2</v>
      </c>
      <c r="F26" s="162">
        <v>0.218</v>
      </c>
      <c r="G26" s="162">
        <v>7.9491348954738486E-2</v>
      </c>
      <c r="H26" s="165">
        <v>0.33520512729383611</v>
      </c>
      <c r="I26" s="36">
        <v>0.45</v>
      </c>
      <c r="J26" s="162">
        <v>9.7927181538266198E-2</v>
      </c>
      <c r="K26" s="162">
        <v>1.3108498984552895E-2</v>
      </c>
      <c r="L26" s="84">
        <v>657998</v>
      </c>
      <c r="M26" s="79" t="s">
        <v>4</v>
      </c>
      <c r="N26" s="79"/>
      <c r="O26" s="79"/>
      <c r="P26" s="80"/>
      <c r="Q26" s="7"/>
      <c r="T26" s="203"/>
      <c r="U26" s="203"/>
    </row>
    <row r="27" spans="2:21" x14ac:dyDescent="0.25">
      <c r="B27" s="18" t="s">
        <v>66</v>
      </c>
      <c r="C27" s="159">
        <v>68075</v>
      </c>
      <c r="D27" s="56" t="str">
        <f t="shared" si="1"/>
        <v>Small</v>
      </c>
      <c r="E27" s="162">
        <v>9.6826550000000011E-2</v>
      </c>
      <c r="F27" s="162">
        <v>0.17399999999999999</v>
      </c>
      <c r="G27" s="162">
        <v>0.12005730659025787</v>
      </c>
      <c r="H27" s="165">
        <v>0.33197549770290963</v>
      </c>
      <c r="I27" s="36">
        <v>0.376</v>
      </c>
      <c r="J27" s="162">
        <v>0.12596828136800087</v>
      </c>
      <c r="K27" s="162">
        <v>3.3411008437123343E-2</v>
      </c>
      <c r="L27" s="84">
        <v>542426</v>
      </c>
      <c r="M27" s="79" t="s">
        <v>4</v>
      </c>
      <c r="N27" s="79"/>
      <c r="O27" s="79"/>
      <c r="P27" s="80"/>
      <c r="Q27" s="7"/>
      <c r="T27" s="203"/>
      <c r="U27" s="203"/>
    </row>
    <row r="28" spans="2:21" x14ac:dyDescent="0.25">
      <c r="B28" s="18" t="s">
        <v>67</v>
      </c>
      <c r="C28" s="159">
        <v>8075</v>
      </c>
      <c r="D28" s="56" t="str">
        <f t="shared" si="1"/>
        <v>Extra Small</v>
      </c>
      <c r="E28" s="162">
        <v>9.3079839999999997E-2</v>
      </c>
      <c r="F28" s="162">
        <v>0.17899999999999999</v>
      </c>
      <c r="G28" s="162">
        <v>8.9506566364911389E-2</v>
      </c>
      <c r="H28" s="165">
        <v>0.32648275862068965</v>
      </c>
      <c r="I28" s="36">
        <v>0.63300000000000001</v>
      </c>
      <c r="J28" s="162">
        <v>0.13104736038024103</v>
      </c>
      <c r="K28" s="162">
        <v>1.7890772128060263E-2</v>
      </c>
      <c r="L28" s="84">
        <v>187877</v>
      </c>
      <c r="M28" s="79" t="s">
        <v>4</v>
      </c>
      <c r="N28" s="79"/>
      <c r="O28" s="79"/>
      <c r="P28" s="80"/>
      <c r="Q28" s="7"/>
      <c r="T28" s="203"/>
      <c r="U28" s="203"/>
    </row>
    <row r="29" spans="2:21" x14ac:dyDescent="0.25">
      <c r="B29" s="18" t="s">
        <v>68</v>
      </c>
      <c r="C29" s="159">
        <v>381365</v>
      </c>
      <c r="D29" s="56" t="str">
        <f t="shared" si="1"/>
        <v>Extra Large</v>
      </c>
      <c r="E29" s="162">
        <v>6.8141679999999996E-2</v>
      </c>
      <c r="F29" s="162">
        <v>0.16600000000000001</v>
      </c>
      <c r="G29" s="162">
        <v>0.1300198979619499</v>
      </c>
      <c r="H29" s="165">
        <v>0.28730761886047818</v>
      </c>
      <c r="I29" s="36">
        <v>0.17499999999999999</v>
      </c>
      <c r="J29" s="162">
        <v>8.6174325107355759E-2</v>
      </c>
      <c r="K29" s="162">
        <v>2.5791358183192822E-2</v>
      </c>
      <c r="L29" s="84">
        <v>4024080</v>
      </c>
      <c r="M29" s="79" t="s">
        <v>4</v>
      </c>
      <c r="N29" s="79"/>
      <c r="O29" s="79"/>
      <c r="P29" s="80"/>
      <c r="Q29" s="7"/>
      <c r="T29" s="203"/>
      <c r="U29" s="203"/>
    </row>
    <row r="30" spans="2:21" x14ac:dyDescent="0.25">
      <c r="B30" s="18" t="s">
        <v>69</v>
      </c>
      <c r="C30" s="159">
        <v>48305</v>
      </c>
      <c r="D30" s="56" t="str">
        <f t="shared" si="1"/>
        <v>Small</v>
      </c>
      <c r="E30" s="162">
        <v>9.7818940000000007E-2</v>
      </c>
      <c r="F30" s="162">
        <v>0.21299999999999999</v>
      </c>
      <c r="G30" s="162">
        <v>0.11814707295169274</v>
      </c>
      <c r="H30" s="165">
        <v>0.28095601322145947</v>
      </c>
      <c r="I30" s="36">
        <v>0.376</v>
      </c>
      <c r="J30" s="162">
        <v>9.4152142042677966E-2</v>
      </c>
      <c r="K30" s="162">
        <v>1.9758771929824562E-2</v>
      </c>
      <c r="L30" s="84">
        <v>1458472</v>
      </c>
      <c r="M30" s="79" t="s">
        <v>4</v>
      </c>
      <c r="N30" s="79"/>
      <c r="O30" s="79"/>
      <c r="P30" s="80"/>
      <c r="Q30" s="7"/>
      <c r="T30" s="203"/>
      <c r="U30" s="203"/>
    </row>
    <row r="31" spans="2:21" x14ac:dyDescent="0.25">
      <c r="B31" s="18" t="s">
        <v>70</v>
      </c>
      <c r="C31" s="159">
        <v>127320</v>
      </c>
      <c r="D31" s="56" t="str">
        <f t="shared" si="1"/>
        <v>Medium</v>
      </c>
      <c r="E31" s="162">
        <v>7.4680110000000008E-2</v>
      </c>
      <c r="F31" s="162">
        <v>0.18100000000000002</v>
      </c>
      <c r="G31" s="162">
        <v>9.5881826320501337E-2</v>
      </c>
      <c r="H31" s="165">
        <v>0.25578581775085596</v>
      </c>
      <c r="I31" s="36">
        <v>0.316</v>
      </c>
      <c r="J31" s="162">
        <v>0.10089543820066277</v>
      </c>
      <c r="K31" s="162">
        <v>2.4106299860542066E-2</v>
      </c>
      <c r="L31" s="84">
        <v>1327242</v>
      </c>
      <c r="M31" s="79" t="s">
        <v>4</v>
      </c>
      <c r="N31" s="79"/>
      <c r="O31" s="79"/>
      <c r="P31" s="80"/>
      <c r="Q31" s="7"/>
      <c r="T31" s="203"/>
      <c r="U31" s="203"/>
    </row>
    <row r="32" spans="2:21" x14ac:dyDescent="0.25">
      <c r="B32" s="18" t="s">
        <v>71</v>
      </c>
      <c r="C32" s="159">
        <v>32105</v>
      </c>
      <c r="D32" s="56" t="str">
        <f t="shared" si="1"/>
        <v>Small</v>
      </c>
      <c r="E32" s="162">
        <v>7.7298069999999997E-2</v>
      </c>
      <c r="F32" s="162">
        <v>0.27100000000000002</v>
      </c>
      <c r="G32" s="162">
        <v>0.10926357990207354</v>
      </c>
      <c r="H32" s="165">
        <v>0.36521673972500096</v>
      </c>
      <c r="I32" s="36">
        <v>0.48399999999999999</v>
      </c>
      <c r="J32" s="162">
        <v>0.1910630959626699</v>
      </c>
      <c r="K32" s="162">
        <v>7.8250132298465336E-2</v>
      </c>
      <c r="L32" s="84">
        <v>474185</v>
      </c>
      <c r="M32" s="79" t="s">
        <v>4</v>
      </c>
      <c r="N32" s="79"/>
      <c r="O32" s="79"/>
      <c r="P32" s="80"/>
      <c r="Q32" s="7"/>
      <c r="T32" s="203"/>
      <c r="U32" s="203"/>
    </row>
    <row r="33" spans="2:21" x14ac:dyDescent="0.25">
      <c r="B33" s="18" t="s">
        <v>72</v>
      </c>
      <c r="C33" s="159">
        <v>349120</v>
      </c>
      <c r="D33" s="56" t="str">
        <f t="shared" si="1"/>
        <v>Large</v>
      </c>
      <c r="E33" s="162">
        <v>6.3607510000000006E-2</v>
      </c>
      <c r="F33" s="162">
        <v>0.192</v>
      </c>
      <c r="G33" s="162">
        <v>0.18943058175608621</v>
      </c>
      <c r="H33" s="165">
        <v>0.27417406553517121</v>
      </c>
      <c r="I33" s="36">
        <v>0.13100000000000001</v>
      </c>
      <c r="J33" s="162">
        <v>0.14741470645743621</v>
      </c>
      <c r="K33" s="162">
        <v>0.10408129343246751</v>
      </c>
      <c r="L33" s="84">
        <v>4647307</v>
      </c>
      <c r="M33" s="79" t="s">
        <v>4</v>
      </c>
      <c r="N33" s="79"/>
      <c r="O33" s="79"/>
      <c r="P33" s="80"/>
      <c r="Q33" s="7"/>
      <c r="T33" s="203"/>
      <c r="U33" s="203"/>
    </row>
    <row r="34" spans="2:21" x14ac:dyDescent="0.25">
      <c r="B34" s="18" t="s">
        <v>73</v>
      </c>
      <c r="C34" s="159">
        <v>12825</v>
      </c>
      <c r="D34" s="56" t="str">
        <f t="shared" si="1"/>
        <v>Extra Small</v>
      </c>
      <c r="E34" s="162">
        <v>6.6599549999999993E-2</v>
      </c>
      <c r="F34" s="162">
        <v>0.312</v>
      </c>
      <c r="G34" s="162">
        <v>0.11404369148461882</v>
      </c>
      <c r="H34" s="165">
        <v>0.29377013963480131</v>
      </c>
      <c r="I34" s="36">
        <v>0.45900000000000002</v>
      </c>
      <c r="J34" s="162">
        <v>0.24689265536723165</v>
      </c>
      <c r="K34" s="162">
        <v>0.15267839876232836</v>
      </c>
      <c r="L34" s="84">
        <v>712823</v>
      </c>
      <c r="M34" s="79" t="s">
        <v>4</v>
      </c>
      <c r="N34" s="79"/>
      <c r="O34" s="79"/>
      <c r="P34" s="80"/>
      <c r="Q34" s="7"/>
      <c r="T34" s="203"/>
      <c r="U34" s="203"/>
    </row>
    <row r="35" spans="2:21" x14ac:dyDescent="0.25">
      <c r="B35" s="18" t="s">
        <v>74</v>
      </c>
      <c r="C35" s="159">
        <v>829560</v>
      </c>
      <c r="D35" s="56" t="str">
        <f t="shared" si="1"/>
        <v>Extra Large</v>
      </c>
      <c r="E35" s="162">
        <v>6.2221129999999999E-2</v>
      </c>
      <c r="F35" s="162">
        <v>0.161</v>
      </c>
      <c r="G35" s="162">
        <v>0.22188526345181289</v>
      </c>
      <c r="H35" s="165">
        <v>0.23381795591069882</v>
      </c>
      <c r="I35" s="36">
        <v>1.2999999999999999E-2</v>
      </c>
      <c r="J35" s="162">
        <v>8.7056662281201555E-2</v>
      </c>
      <c r="K35" s="162">
        <v>8.4254448034793039E-2</v>
      </c>
      <c r="L35" s="84">
        <v>25329190</v>
      </c>
      <c r="M35" s="79" t="s">
        <v>4</v>
      </c>
      <c r="N35" s="79"/>
      <c r="O35" s="79"/>
      <c r="P35" s="80"/>
      <c r="Q35" s="7"/>
      <c r="T35" s="203"/>
      <c r="U35" s="203"/>
    </row>
    <row r="36" spans="2:21" x14ac:dyDescent="0.25">
      <c r="B36" s="48" t="s">
        <v>85</v>
      </c>
      <c r="C36" s="53">
        <f>C20+C38+C43</f>
        <v>31080</v>
      </c>
      <c r="D36" s="53" t="str">
        <f t="shared" si="1"/>
        <v>Small</v>
      </c>
      <c r="E36" s="54">
        <v>8.1669599999999995E-2</v>
      </c>
      <c r="F36" s="54">
        <v>0.13800000000000001</v>
      </c>
      <c r="G36" s="54">
        <v>0.11961331608686772</v>
      </c>
      <c r="H36" s="182">
        <v>0.23854671280276818</v>
      </c>
      <c r="I36" s="54">
        <v>0.41499999999999998</v>
      </c>
      <c r="J36" s="54">
        <v>0.13515598630599354</v>
      </c>
      <c r="K36" s="54">
        <v>5.4470336679592647E-2</v>
      </c>
      <c r="L36" s="194">
        <v>772441</v>
      </c>
      <c r="M36" s="192" t="s">
        <v>4</v>
      </c>
      <c r="N36" s="192"/>
      <c r="O36" s="192"/>
      <c r="P36" s="193"/>
      <c r="Q36" s="7"/>
    </row>
    <row r="37" spans="2:21" x14ac:dyDescent="0.25">
      <c r="B37" s="18" t="s">
        <v>75</v>
      </c>
      <c r="C37" s="159">
        <v>83805</v>
      </c>
      <c r="D37" s="56" t="str">
        <f t="shared" si="1"/>
        <v>Medium</v>
      </c>
      <c r="E37" s="162">
        <v>6.0078370000000006E-2</v>
      </c>
      <c r="F37" s="162">
        <v>0.183</v>
      </c>
      <c r="G37" s="162">
        <v>0.12019354759477814</v>
      </c>
      <c r="H37" s="165">
        <v>0.23463420155701728</v>
      </c>
      <c r="I37" s="36">
        <v>0.19900000000000001</v>
      </c>
      <c r="J37" s="162">
        <v>9.566050387968196E-2</v>
      </c>
      <c r="K37" s="162">
        <v>5.112740819862184E-2</v>
      </c>
      <c r="L37" s="84">
        <v>291010</v>
      </c>
      <c r="M37" s="79" t="s">
        <v>4</v>
      </c>
      <c r="N37" s="79"/>
      <c r="O37" s="79"/>
      <c r="P37" s="80"/>
      <c r="Q37" s="7"/>
      <c r="T37" s="203"/>
      <c r="U37" s="203"/>
    </row>
    <row r="38" spans="2:21" x14ac:dyDescent="0.25">
      <c r="B38" s="27" t="s">
        <v>92</v>
      </c>
      <c r="C38" s="53">
        <v>1795</v>
      </c>
      <c r="D38" s="53" t="str">
        <f t="shared" si="1"/>
        <v>Extra Small</v>
      </c>
      <c r="E38" s="54"/>
      <c r="F38" s="54"/>
      <c r="G38" s="54">
        <v>4.5482866043613707E-2</v>
      </c>
      <c r="H38" s="182">
        <v>0.22423485321673953</v>
      </c>
      <c r="I38" s="54"/>
      <c r="J38" s="54">
        <v>8.6429725363489501E-2</v>
      </c>
      <c r="K38" s="54">
        <v>2.5974025974025974E-3</v>
      </c>
      <c r="L38" s="194"/>
      <c r="M38" s="192"/>
      <c r="N38" s="192"/>
      <c r="O38" s="192"/>
      <c r="P38" s="193"/>
      <c r="Q38" s="7"/>
      <c r="T38" s="203"/>
      <c r="U38" s="203"/>
    </row>
    <row r="39" spans="2:21" x14ac:dyDescent="0.25">
      <c r="B39" s="18" t="s">
        <v>76</v>
      </c>
      <c r="C39" s="159">
        <v>26530</v>
      </c>
      <c r="D39" s="56" t="str">
        <f t="shared" si="1"/>
        <v>Small</v>
      </c>
      <c r="E39" s="162">
        <v>8.2220169999999995E-2</v>
      </c>
      <c r="F39" s="162">
        <v>0.16899999999999998</v>
      </c>
      <c r="G39" s="162">
        <v>7.5088203712225798E-2</v>
      </c>
      <c r="H39" s="165">
        <v>0.25437453094758461</v>
      </c>
      <c r="I39" s="36">
        <v>0.69599999999999995</v>
      </c>
      <c r="J39" s="162">
        <v>9.6828904764352158E-2</v>
      </c>
      <c r="K39" s="162">
        <v>3.1383278345537939E-2</v>
      </c>
      <c r="L39" s="84">
        <v>119798</v>
      </c>
      <c r="M39" s="79" t="s">
        <v>4</v>
      </c>
      <c r="N39" s="79"/>
      <c r="O39" s="79"/>
      <c r="P39" s="80"/>
      <c r="Q39" s="7"/>
      <c r="T39" s="203"/>
      <c r="U39" s="203"/>
    </row>
    <row r="40" spans="2:21" x14ac:dyDescent="0.25">
      <c r="B40" s="18" t="s">
        <v>77</v>
      </c>
      <c r="C40" s="159">
        <v>81495</v>
      </c>
      <c r="D40" s="56" t="str">
        <f t="shared" si="1"/>
        <v>Medium</v>
      </c>
      <c r="E40" s="162">
        <v>7.0862040000000001E-2</v>
      </c>
      <c r="F40" s="162">
        <v>0.184</v>
      </c>
      <c r="G40" s="162">
        <v>0.14515331998231423</v>
      </c>
      <c r="H40" s="165">
        <v>0.2947186267045061</v>
      </c>
      <c r="I40" s="36">
        <v>0.29099999999999998</v>
      </c>
      <c r="J40" s="162">
        <v>0.1782276866667995</v>
      </c>
      <c r="K40" s="162">
        <v>0.10513829579390996</v>
      </c>
      <c r="L40" s="84">
        <v>532317</v>
      </c>
      <c r="M40" s="79" t="s">
        <v>4</v>
      </c>
      <c r="N40" s="79"/>
      <c r="O40" s="79"/>
      <c r="P40" s="80"/>
      <c r="Q40" s="7"/>
      <c r="T40" s="203"/>
      <c r="U40" s="203"/>
    </row>
    <row r="41" spans="2:21" x14ac:dyDescent="0.25">
      <c r="B41" s="18" t="s">
        <v>78</v>
      </c>
      <c r="C41" s="159">
        <v>26840</v>
      </c>
      <c r="D41" s="56" t="str">
        <f t="shared" si="1"/>
        <v>Small</v>
      </c>
      <c r="E41" s="162">
        <v>7.7874589999999994E-2</v>
      </c>
      <c r="F41" s="162">
        <v>0.106</v>
      </c>
      <c r="G41" s="162">
        <v>7.9414476717381277E-2</v>
      </c>
      <c r="H41" s="165">
        <v>0.30462135000395663</v>
      </c>
      <c r="I41" s="36">
        <v>0.42099999999999999</v>
      </c>
      <c r="J41" s="162">
        <v>7.6918634867471275E-2</v>
      </c>
      <c r="K41" s="162">
        <v>1.6070990431013329E-2</v>
      </c>
      <c r="L41" s="84">
        <v>153290</v>
      </c>
      <c r="M41" s="79" t="s">
        <v>4</v>
      </c>
      <c r="N41" s="79"/>
      <c r="O41" s="79"/>
      <c r="P41" s="80"/>
      <c r="Q41" s="7"/>
      <c r="T41" s="203"/>
      <c r="U41" s="203"/>
    </row>
    <row r="42" spans="2:21" x14ac:dyDescent="0.25">
      <c r="B42" s="18" t="s">
        <v>79</v>
      </c>
      <c r="C42" s="159">
        <v>7160</v>
      </c>
      <c r="D42" s="56" t="str">
        <f t="shared" si="1"/>
        <v>Extra Small</v>
      </c>
      <c r="E42" s="162">
        <v>6.8052559999999998E-2</v>
      </c>
      <c r="F42" s="162">
        <v>0.14899999999999999</v>
      </c>
      <c r="G42" s="162">
        <v>4.9393414211438474E-2</v>
      </c>
      <c r="H42" s="165">
        <v>0.25040316669110102</v>
      </c>
      <c r="I42" s="36">
        <v>1</v>
      </c>
      <c r="J42" s="162">
        <v>7.5023041474654384E-2</v>
      </c>
      <c r="K42" s="162">
        <v>1.0912397696271597E-2</v>
      </c>
      <c r="L42" s="84">
        <v>0</v>
      </c>
      <c r="M42" s="79" t="s">
        <v>4</v>
      </c>
      <c r="N42" s="79"/>
      <c r="O42" s="79"/>
      <c r="P42" s="80"/>
      <c r="Q42" s="7"/>
      <c r="T42" s="203"/>
      <c r="U42" s="203"/>
    </row>
    <row r="43" spans="2:21" x14ac:dyDescent="0.25">
      <c r="B43" s="27" t="s">
        <v>93</v>
      </c>
      <c r="C43" s="53">
        <v>27295</v>
      </c>
      <c r="D43" s="53" t="str">
        <f t="shared" si="1"/>
        <v>Small</v>
      </c>
      <c r="E43" s="54"/>
      <c r="F43" s="54"/>
      <c r="G43" s="54">
        <v>0.12785123327920822</v>
      </c>
      <c r="H43" s="182">
        <v>0.23915268918812504</v>
      </c>
      <c r="I43" s="54"/>
      <c r="J43" s="54">
        <v>0.1415831163795491</v>
      </c>
      <c r="K43" s="54">
        <v>5.9799430481614464E-2</v>
      </c>
      <c r="L43" s="194"/>
      <c r="M43" s="192"/>
      <c r="N43" s="192"/>
      <c r="O43" s="192"/>
      <c r="P43" s="193"/>
      <c r="Q43" s="7"/>
      <c r="T43" s="203"/>
      <c r="U43" s="203"/>
    </row>
    <row r="44" spans="2:21" x14ac:dyDescent="0.25">
      <c r="B44" s="18" t="s">
        <v>80</v>
      </c>
      <c r="C44" s="159">
        <v>620080</v>
      </c>
      <c r="D44" s="56" t="str">
        <f t="shared" si="1"/>
        <v>Extra Large</v>
      </c>
      <c r="E44" s="162">
        <v>4.2650979999999998E-2</v>
      </c>
      <c r="F44" s="162">
        <v>0.151</v>
      </c>
      <c r="G44" s="162">
        <v>0.2386094692353834</v>
      </c>
      <c r="H44" s="165">
        <v>0.16330220782308263</v>
      </c>
      <c r="I44" s="36">
        <v>5.6000000000000001E-2</v>
      </c>
      <c r="J44" s="162">
        <v>8.3950044504063362E-2</v>
      </c>
      <c r="K44" s="162">
        <v>9.0625859571268771E-2</v>
      </c>
      <c r="L44" s="84">
        <v>8674852</v>
      </c>
      <c r="M44" s="79" t="s">
        <v>4</v>
      </c>
      <c r="N44" s="79"/>
      <c r="O44" s="79"/>
      <c r="P44" s="80"/>
      <c r="Q44" s="7"/>
      <c r="T44" s="203"/>
      <c r="U44" s="203"/>
    </row>
    <row r="45" spans="2:21" x14ac:dyDescent="0.25">
      <c r="B45" s="18" t="s">
        <v>81</v>
      </c>
      <c r="C45" s="159">
        <v>1440</v>
      </c>
      <c r="D45" s="56" t="str">
        <f t="shared" si="1"/>
        <v>Extra Small</v>
      </c>
      <c r="E45" s="162">
        <v>6.5306119999999995E-2</v>
      </c>
      <c r="F45" s="162">
        <v>0.33399999999999996</v>
      </c>
      <c r="G45" s="162">
        <v>6.1711079943899017E-2</v>
      </c>
      <c r="H45" s="165">
        <v>0.3383084577114428</v>
      </c>
      <c r="I45" s="36">
        <v>1</v>
      </c>
      <c r="J45" s="162">
        <v>7.9234972677595633E-2</v>
      </c>
      <c r="K45" s="162">
        <v>7.3637702503681884E-4</v>
      </c>
      <c r="L45" s="84">
        <v>6791</v>
      </c>
      <c r="M45" s="79" t="s">
        <v>4</v>
      </c>
      <c r="N45" s="79"/>
      <c r="O45" s="79"/>
      <c r="P45" s="80"/>
      <c r="Q45" s="7"/>
      <c r="T45" s="203"/>
      <c r="U45" s="203"/>
    </row>
    <row r="46" spans="2:21" x14ac:dyDescent="0.25">
      <c r="B46" s="19" t="s">
        <v>82</v>
      </c>
      <c r="C46" s="160">
        <v>108605</v>
      </c>
      <c r="D46" s="57" t="str">
        <f t="shared" si="1"/>
        <v>Medium</v>
      </c>
      <c r="E46" s="163">
        <v>6.2846349999999995E-2</v>
      </c>
      <c r="F46" s="163">
        <v>0.184</v>
      </c>
      <c r="G46" s="163">
        <v>0.11686572914659989</v>
      </c>
      <c r="H46" s="166">
        <v>0.21567317522496532</v>
      </c>
      <c r="I46" s="37">
        <v>0.22600000000000001</v>
      </c>
      <c r="J46" s="163">
        <v>0.11749373577949944</v>
      </c>
      <c r="K46" s="163">
        <v>5.2806933273375781E-2</v>
      </c>
      <c r="L46" s="85">
        <v>1553242</v>
      </c>
      <c r="M46" s="81" t="s">
        <v>4</v>
      </c>
      <c r="N46" s="81"/>
      <c r="O46" s="81"/>
      <c r="P46" s="82"/>
      <c r="Q46" s="7"/>
      <c r="T46" s="203"/>
      <c r="U46" s="203"/>
    </row>
    <row r="47" spans="2:21" ht="15.75" thickBot="1" x14ac:dyDescent="0.3">
      <c r="C47" s="16">
        <f>SUM(C10:C46)-C36</f>
        <v>4268055</v>
      </c>
      <c r="D47" s="51"/>
    </row>
    <row r="48" spans="2:21" ht="15.75" thickTop="1" x14ac:dyDescent="0.25"/>
    <row r="49" spans="11:11" x14ac:dyDescent="0.25">
      <c r="K49" s="38"/>
    </row>
    <row r="50" spans="11:11" x14ac:dyDescent="0.25">
      <c r="K50" s="38"/>
    </row>
    <row r="51" spans="11:11" x14ac:dyDescent="0.25">
      <c r="K51" s="38"/>
    </row>
    <row r="52" spans="11:11" x14ac:dyDescent="0.25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 x14ac:dyDescent="0.25">
      <c r="B3" t="s">
        <v>0</v>
      </c>
      <c r="C3" s="1">
        <f>'County Data'!C5</f>
        <v>8000000</v>
      </c>
    </row>
    <row r="4" spans="2:6" x14ac:dyDescent="0.25">
      <c r="B4" t="s">
        <v>41</v>
      </c>
      <c r="C4" s="14">
        <f>'County Data'!C9</f>
        <v>0</v>
      </c>
    </row>
    <row r="6" spans="2:6" s="2" customFormat="1" ht="30" x14ac:dyDescent="0.2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25">
      <c r="B7" s="20" t="str">
        <f>+'County Data'!$B$10</f>
        <v>Baker</v>
      </c>
      <c r="C7" s="15">
        <f>VLOOKUP($B7,'County Data'!$B$10:$P$46,2,FALSE)</f>
        <v>16910</v>
      </c>
      <c r="D7" s="6">
        <f t="shared" ref="D7:D40" si="0">C7/$C$41</f>
        <v>3.9619920549290016E-3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25">
      <c r="B8" s="20" t="str">
        <f>+'County Data'!$B$19</f>
        <v>Douglas</v>
      </c>
      <c r="C8" s="15">
        <f>VLOOKUP($B8,'County Data'!$B$10:$P$46,2,FALSE)</f>
        <v>112530</v>
      </c>
      <c r="D8" s="6">
        <f t="shared" si="0"/>
        <v>2.6365639618046159E-2</v>
      </c>
      <c r="E8" s="14">
        <f t="shared" si="1"/>
        <v>0</v>
      </c>
      <c r="F8" s="10">
        <f t="shared" si="2"/>
        <v>0</v>
      </c>
    </row>
    <row r="9" spans="2:6" x14ac:dyDescent="0.25">
      <c r="B9" s="20" t="str">
        <f>+'County Data'!$B$23</f>
        <v>Hood River</v>
      </c>
      <c r="C9" s="15">
        <f>VLOOKUP($B9,'County Data'!$B$10:$P$46,2,FALSE)</f>
        <v>25640</v>
      </c>
      <c r="D9" s="6">
        <f t="shared" si="0"/>
        <v>6.0074202417728919E-3</v>
      </c>
      <c r="E9" s="14">
        <f t="shared" si="1"/>
        <v>0</v>
      </c>
      <c r="F9" s="10">
        <f t="shared" si="2"/>
        <v>0</v>
      </c>
    </row>
    <row r="10" spans="2:6" x14ac:dyDescent="0.25">
      <c r="B10" s="20" t="str">
        <f>+'County Data'!$B$24</f>
        <v>Jackson</v>
      </c>
      <c r="C10" s="15">
        <f>VLOOKUP($B10,'County Data'!$B$10:$P$46,2,FALSE)</f>
        <v>223240</v>
      </c>
      <c r="D10" s="6">
        <f t="shared" si="0"/>
        <v>5.2304855490381448E-2</v>
      </c>
      <c r="E10" s="14">
        <f t="shared" si="1"/>
        <v>0</v>
      </c>
      <c r="F10" s="10">
        <f t="shared" si="2"/>
        <v>0</v>
      </c>
    </row>
    <row r="11" spans="2:6" x14ac:dyDescent="0.25">
      <c r="B11" s="20" t="str">
        <f>+'County Data'!$B$25</f>
        <v>Jefferson</v>
      </c>
      <c r="C11" s="15">
        <f>VLOOKUP($B11,'County Data'!$B$10:$P$46,2,FALSE)</f>
        <v>24105</v>
      </c>
      <c r="D11" s="6">
        <f t="shared" si="0"/>
        <v>5.6477716430552091E-3</v>
      </c>
      <c r="E11" s="14">
        <f t="shared" si="1"/>
        <v>0</v>
      </c>
      <c r="F11" s="10">
        <f t="shared" si="2"/>
        <v>0</v>
      </c>
    </row>
    <row r="12" spans="2:6" x14ac:dyDescent="0.25">
      <c r="B12" s="20" t="str">
        <f>+'County Data'!$B$26</f>
        <v>Josephine</v>
      </c>
      <c r="C12" s="15">
        <f>VLOOKUP($B12,'County Data'!$B$10:$P$46,2,FALSE)</f>
        <v>86560</v>
      </c>
      <c r="D12" s="6">
        <f t="shared" si="0"/>
        <v>2.0280900785018E-2</v>
      </c>
      <c r="E12" s="14">
        <f t="shared" si="1"/>
        <v>0</v>
      </c>
      <c r="F12" s="10">
        <f t="shared" si="2"/>
        <v>0</v>
      </c>
    </row>
    <row r="13" spans="2:6" x14ac:dyDescent="0.25">
      <c r="B13" s="20" t="str">
        <f>+'County Data'!$B$27</f>
        <v>Klamath</v>
      </c>
      <c r="C13" s="15">
        <f>VLOOKUP($B13,'County Data'!$B$10:$P$46,2,FALSE)</f>
        <v>68075</v>
      </c>
      <c r="D13" s="6">
        <f t="shared" si="0"/>
        <v>1.5949888180916132E-2</v>
      </c>
      <c r="E13" s="14">
        <f t="shared" si="1"/>
        <v>0</v>
      </c>
      <c r="F13" s="10">
        <f t="shared" si="2"/>
        <v>0</v>
      </c>
    </row>
    <row r="14" spans="2:6" x14ac:dyDescent="0.25">
      <c r="B14" s="20" t="str">
        <f>+'County Data'!$B$29</f>
        <v>Lane</v>
      </c>
      <c r="C14" s="15">
        <f>VLOOKUP($B14,'County Data'!$B$10:$P$46,2,FALSE)</f>
        <v>381365</v>
      </c>
      <c r="D14" s="6">
        <f t="shared" si="0"/>
        <v>8.9353347133530381E-2</v>
      </c>
      <c r="E14" s="14">
        <f t="shared" si="1"/>
        <v>0</v>
      </c>
      <c r="F14" s="10">
        <f t="shared" si="2"/>
        <v>0</v>
      </c>
    </row>
    <row r="15" spans="2:6" x14ac:dyDescent="0.25">
      <c r="B15" s="20" t="str">
        <f>+'County Data'!$B$11</f>
        <v>Benton</v>
      </c>
      <c r="C15" s="15">
        <f>VLOOKUP($B15,'County Data'!$B$10:$P$46,2,FALSE)</f>
        <v>94665</v>
      </c>
      <c r="D15" s="6">
        <f t="shared" si="0"/>
        <v>2.217989224599964E-2</v>
      </c>
      <c r="E15" s="14">
        <f t="shared" si="1"/>
        <v>0</v>
      </c>
      <c r="F15" s="10">
        <f t="shared" si="2"/>
        <v>0</v>
      </c>
    </row>
    <row r="16" spans="2:6" x14ac:dyDescent="0.25">
      <c r="B16" s="20" t="str">
        <f>+'County Data'!$B$30</f>
        <v>Lincoln</v>
      </c>
      <c r="C16" s="15">
        <f>VLOOKUP($B16,'County Data'!$B$10:$P$46,2,FALSE)</f>
        <v>48305</v>
      </c>
      <c r="D16" s="6">
        <f t="shared" si="0"/>
        <v>1.131780166844148E-2</v>
      </c>
      <c r="E16" s="14">
        <f t="shared" si="1"/>
        <v>0</v>
      </c>
      <c r="F16" s="10">
        <f t="shared" si="2"/>
        <v>0</v>
      </c>
    </row>
    <row r="17" spans="2:6" x14ac:dyDescent="0.25">
      <c r="B17" s="20" t="str">
        <f>+'County Data'!$B$31</f>
        <v>Linn</v>
      </c>
      <c r="C17" s="15">
        <f>VLOOKUP($B17,'County Data'!$B$10:$P$46,2,FALSE)</f>
        <v>127320</v>
      </c>
      <c r="D17" s="6">
        <f t="shared" si="0"/>
        <v>2.9830918298850415E-2</v>
      </c>
      <c r="E17" s="14">
        <f t="shared" si="1"/>
        <v>0</v>
      </c>
      <c r="F17" s="10">
        <f t="shared" si="2"/>
        <v>0</v>
      </c>
    </row>
    <row r="18" spans="2:6" x14ac:dyDescent="0.25">
      <c r="B18" s="20" t="str">
        <f>+'County Data'!$B$32</f>
        <v>Malheur</v>
      </c>
      <c r="C18" s="15">
        <f>VLOOKUP($B18,'County Data'!$B$10:$P$46,2,FALSE)</f>
        <v>32105</v>
      </c>
      <c r="D18" s="6">
        <f t="shared" si="0"/>
        <v>7.5221617340919924E-3</v>
      </c>
      <c r="E18" s="14">
        <f t="shared" si="1"/>
        <v>0</v>
      </c>
      <c r="F18" s="10">
        <f t="shared" si="2"/>
        <v>0</v>
      </c>
    </row>
    <row r="19" spans="2:6" x14ac:dyDescent="0.25">
      <c r="B19" s="20" t="str">
        <f>+'County Data'!$B$33</f>
        <v>Marion</v>
      </c>
      <c r="C19" s="15">
        <f>VLOOKUP($B19,'County Data'!$B$10:$P$46,2,FALSE)</f>
        <v>349120</v>
      </c>
      <c r="D19" s="6">
        <f t="shared" si="0"/>
        <v>8.1798383572845246E-2</v>
      </c>
      <c r="E19" s="14">
        <f t="shared" si="1"/>
        <v>0</v>
      </c>
      <c r="F19" s="10">
        <f t="shared" si="2"/>
        <v>0</v>
      </c>
    </row>
    <row r="20" spans="2:6" x14ac:dyDescent="0.25">
      <c r="B20" s="20" t="str">
        <f>+'County Data'!$B$34</f>
        <v>Morrow</v>
      </c>
      <c r="C20" s="15">
        <f>VLOOKUP($B20,'County Data'!$B$10:$P$46,2,FALSE)</f>
        <v>12825</v>
      </c>
      <c r="D20" s="6">
        <f t="shared" si="0"/>
        <v>3.004881614693344E-3</v>
      </c>
      <c r="E20" s="14">
        <f t="shared" si="1"/>
        <v>0</v>
      </c>
      <c r="F20" s="10">
        <f t="shared" si="2"/>
        <v>0</v>
      </c>
    </row>
    <row r="21" spans="2:6" x14ac:dyDescent="0.25">
      <c r="B21" s="20" t="str">
        <f>+'County Data'!$B$35</f>
        <v>Multnomah</v>
      </c>
      <c r="C21" s="15">
        <f>VLOOKUP($B21,'County Data'!$B$10:$P$46,2,FALSE)</f>
        <v>829560</v>
      </c>
      <c r="D21" s="6">
        <f t="shared" si="0"/>
        <v>0.19436488049005929</v>
      </c>
      <c r="E21" s="14">
        <f t="shared" si="1"/>
        <v>0</v>
      </c>
      <c r="F21" s="10">
        <f t="shared" si="2"/>
        <v>0</v>
      </c>
    </row>
    <row r="22" spans="2:6" x14ac:dyDescent="0.25">
      <c r="B22" s="20" t="str">
        <f>+'County Data'!$B$36</f>
        <v>Gilliam, Sherman, Wasco</v>
      </c>
      <c r="C22" s="15">
        <f>VLOOKUP($B22,'County Data'!$B$10:$P$46,2,FALSE)</f>
        <v>31080</v>
      </c>
      <c r="D22" s="6">
        <f t="shared" si="0"/>
        <v>7.2820055036779052E-3</v>
      </c>
      <c r="E22" s="14">
        <f t="shared" si="1"/>
        <v>0</v>
      </c>
      <c r="F22" s="10">
        <f t="shared" si="2"/>
        <v>0</v>
      </c>
    </row>
    <row r="23" spans="2:6" x14ac:dyDescent="0.25">
      <c r="B23" s="20" t="str">
        <f>+'County Data'!$B$37</f>
        <v>Polk</v>
      </c>
      <c r="C23" s="15">
        <f>VLOOKUP($B23,'County Data'!$B$10:$P$46,2,FALSE)</f>
        <v>83805</v>
      </c>
      <c r="D23" s="6">
        <f t="shared" si="0"/>
        <v>1.9635407697417208E-2</v>
      </c>
      <c r="E23" s="14">
        <f t="shared" si="1"/>
        <v>0</v>
      </c>
      <c r="F23" s="10">
        <f t="shared" si="2"/>
        <v>0</v>
      </c>
    </row>
    <row r="24" spans="2:6" x14ac:dyDescent="0.25">
      <c r="B24" s="20" t="str">
        <f>+'County Data'!$B$39</f>
        <v>Tillamook</v>
      </c>
      <c r="C24" s="15">
        <f>VLOOKUP($B24,'County Data'!$B$10:$P$46,2,FALSE)</f>
        <v>26530</v>
      </c>
      <c r="D24" s="6">
        <f t="shared" si="0"/>
        <v>6.215946139400734E-3</v>
      </c>
      <c r="E24" s="14">
        <f t="shared" si="1"/>
        <v>0</v>
      </c>
      <c r="F24" s="10">
        <f t="shared" si="2"/>
        <v>0</v>
      </c>
    </row>
    <row r="25" spans="2:6" x14ac:dyDescent="0.25">
      <c r="B25" s="20" t="str">
        <f>+'County Data'!$B$40</f>
        <v>Umatilla</v>
      </c>
      <c r="C25" s="15">
        <f>VLOOKUP($B25,'County Data'!$B$10:$P$46,2,FALSE)</f>
        <v>81495</v>
      </c>
      <c r="D25" s="6">
        <f t="shared" si="0"/>
        <v>1.9094177558630337E-2</v>
      </c>
      <c r="E25" s="14">
        <f t="shared" si="1"/>
        <v>0</v>
      </c>
      <c r="F25" s="10">
        <f t="shared" si="2"/>
        <v>0</v>
      </c>
    </row>
    <row r="26" spans="2:6" x14ac:dyDescent="0.25">
      <c r="B26" s="20" t="str">
        <f>+'County Data'!$B$12</f>
        <v>Clackamas</v>
      </c>
      <c r="C26" s="15">
        <f>VLOOKUP($B26,'County Data'!$B$10:$P$46,2,FALSE)</f>
        <v>426515</v>
      </c>
      <c r="D26" s="6">
        <f t="shared" si="0"/>
        <v>9.993193620981923E-2</v>
      </c>
      <c r="E26" s="14">
        <f t="shared" si="1"/>
        <v>0</v>
      </c>
      <c r="F26" s="10">
        <f t="shared" si="2"/>
        <v>0</v>
      </c>
    </row>
    <row r="27" spans="2:6" x14ac:dyDescent="0.25">
      <c r="B27" s="20" t="str">
        <f>+'County Data'!$B$41</f>
        <v>Union</v>
      </c>
      <c r="C27" s="15">
        <f>VLOOKUP($B27,'County Data'!$B$10:$P$46,2,FALSE)</f>
        <v>26840</v>
      </c>
      <c r="D27" s="6">
        <f t="shared" si="0"/>
        <v>6.2885787554284095E-3</v>
      </c>
      <c r="E27" s="14">
        <f t="shared" si="1"/>
        <v>0</v>
      </c>
      <c r="F27" s="10">
        <f t="shared" si="2"/>
        <v>0</v>
      </c>
    </row>
    <row r="28" spans="2:6" x14ac:dyDescent="0.25">
      <c r="B28" s="20" t="str">
        <f>+'County Data'!$B$44</f>
        <v>Washington</v>
      </c>
      <c r="C28" s="15">
        <f>VLOOKUP($B28,'County Data'!$B$10:$P$46,2,FALSE)</f>
        <v>620080</v>
      </c>
      <c r="D28" s="6">
        <f t="shared" si="0"/>
        <v>0.14528397595626111</v>
      </c>
      <c r="E28" s="14">
        <f t="shared" si="1"/>
        <v>0</v>
      </c>
      <c r="F28" s="10">
        <f t="shared" si="2"/>
        <v>0</v>
      </c>
    </row>
    <row r="29" spans="2:6" x14ac:dyDescent="0.25">
      <c r="B29" s="20" t="str">
        <f>+'County Data'!$B$46</f>
        <v>Yamhill</v>
      </c>
      <c r="C29" s="15">
        <f>VLOOKUP($B29,'County Data'!$B$10:$P$46,2,FALSE)</f>
        <v>108605</v>
      </c>
      <c r="D29" s="6">
        <f t="shared" si="0"/>
        <v>2.5446016979631236E-2</v>
      </c>
      <c r="E29" s="14">
        <f t="shared" si="1"/>
        <v>0</v>
      </c>
      <c r="F29" s="10">
        <f t="shared" si="2"/>
        <v>0</v>
      </c>
    </row>
    <row r="30" spans="2:6" x14ac:dyDescent="0.25">
      <c r="B30" s="20" t="str">
        <f>+'County Data'!$B$13</f>
        <v>Clatsop</v>
      </c>
      <c r="C30" s="15">
        <f>VLOOKUP($B30,'County Data'!$B$10:$P$46,2,FALSE)</f>
        <v>39455</v>
      </c>
      <c r="D30" s="6">
        <f t="shared" si="0"/>
        <v>9.2442576302320372E-3</v>
      </c>
      <c r="E30" s="14">
        <f t="shared" si="1"/>
        <v>0</v>
      </c>
      <c r="F30" s="10">
        <f t="shared" si="2"/>
        <v>0</v>
      </c>
    </row>
    <row r="31" spans="2:6" x14ac:dyDescent="0.25">
      <c r="B31" s="20" t="str">
        <f>+'County Data'!$B$14</f>
        <v>Columbia</v>
      </c>
      <c r="C31" s="15">
        <f>VLOOKUP($B31,'County Data'!$B$10:$P$46,2,FALSE)</f>
        <v>53280</v>
      </c>
      <c r="D31" s="6">
        <f t="shared" si="0"/>
        <v>1.248343800630498E-2</v>
      </c>
      <c r="E31" s="14">
        <f t="shared" si="1"/>
        <v>0</v>
      </c>
      <c r="F31" s="10">
        <f t="shared" si="2"/>
        <v>0</v>
      </c>
    </row>
    <row r="32" spans="2:6" x14ac:dyDescent="0.25">
      <c r="B32" s="20" t="str">
        <f>+'County Data'!$B$15</f>
        <v>Coos</v>
      </c>
      <c r="C32" s="15">
        <f>VLOOKUP($B32,'County Data'!$B$10:$P$46,2,FALSE)</f>
        <v>63315</v>
      </c>
      <c r="D32" s="6">
        <f t="shared" si="0"/>
        <v>1.4834626076749246E-2</v>
      </c>
      <c r="E32" s="14">
        <f t="shared" si="1"/>
        <v>0</v>
      </c>
      <c r="F32" s="10">
        <f t="shared" si="2"/>
        <v>0</v>
      </c>
    </row>
    <row r="33" spans="2:6" x14ac:dyDescent="0.25">
      <c r="B33" s="20" t="str">
        <f>+'County Data'!$B$16</f>
        <v>Crook</v>
      </c>
      <c r="C33" s="15">
        <f>VLOOKUP($B33,'County Data'!$B$10:$P$46,2,FALSE)</f>
        <v>23440</v>
      </c>
      <c r="D33" s="6">
        <f t="shared" si="0"/>
        <v>5.4919629667377762E-3</v>
      </c>
      <c r="E33" s="14">
        <f t="shared" si="1"/>
        <v>0</v>
      </c>
      <c r="F33" s="10">
        <f t="shared" si="2"/>
        <v>0</v>
      </c>
    </row>
    <row r="34" spans="2:6" x14ac:dyDescent="0.25">
      <c r="B34" s="20" t="str">
        <f>+'County Data'!$B$17</f>
        <v>Curry</v>
      </c>
      <c r="C34" s="15">
        <f>VLOOKUP($B34,'County Data'!$B$10:$P$46,2,FALSE)</f>
        <v>23005</v>
      </c>
      <c r="D34" s="6">
        <f t="shared" si="0"/>
        <v>5.3900430055376508E-3</v>
      </c>
      <c r="E34" s="14">
        <f t="shared" si="1"/>
        <v>0</v>
      </c>
      <c r="F34" s="10">
        <f t="shared" si="2"/>
        <v>0</v>
      </c>
    </row>
    <row r="35" spans="2:6" x14ac:dyDescent="0.25">
      <c r="B35" s="20" t="str">
        <f>+'County Data'!$B$18</f>
        <v>Deschutes</v>
      </c>
      <c r="C35" s="15">
        <f>VLOOKUP($B35,'County Data'!$B$10:$P$46,2,FALSE)</f>
        <v>197015</v>
      </c>
      <c r="D35" s="6">
        <f t="shared" si="0"/>
        <v>4.6160370473201491E-2</v>
      </c>
      <c r="E35" s="14">
        <f t="shared" si="1"/>
        <v>0</v>
      </c>
      <c r="F35" s="10">
        <f t="shared" si="2"/>
        <v>0</v>
      </c>
    </row>
    <row r="36" spans="2:6" x14ac:dyDescent="0.25">
      <c r="B36" s="20" t="str">
        <f>+'County Data'!$B$21</f>
        <v>Grant</v>
      </c>
      <c r="C36" s="15">
        <f>VLOOKUP($B36,'County Data'!$B$10:$P$46,2,FALSE)</f>
        <v>7315</v>
      </c>
      <c r="D36" s="6">
        <f t="shared" si="0"/>
        <v>1.7138954394917592E-3</v>
      </c>
      <c r="E36" s="14">
        <f t="shared" si="1"/>
        <v>0</v>
      </c>
      <c r="F36" s="10">
        <f t="shared" si="2"/>
        <v>0</v>
      </c>
    </row>
    <row r="37" spans="2:6" x14ac:dyDescent="0.25">
      <c r="B37" s="20" t="str">
        <f>+'County Data'!$B$22</f>
        <v>Harney</v>
      </c>
      <c r="C37" s="15">
        <f>VLOOKUP($B37,'County Data'!$B$10:$P$46,2,FALSE)</f>
        <v>7280</v>
      </c>
      <c r="D37" s="6">
        <f t="shared" si="0"/>
        <v>1.7056949828434733E-3</v>
      </c>
      <c r="E37" s="14">
        <f t="shared" si="1"/>
        <v>0</v>
      </c>
      <c r="F37" s="10">
        <f t="shared" si="2"/>
        <v>0</v>
      </c>
    </row>
    <row r="38" spans="2:6" x14ac:dyDescent="0.25">
      <c r="B38" s="20" t="str">
        <f>+'County Data'!$B$28</f>
        <v>Lake</v>
      </c>
      <c r="C38" s="15">
        <f>VLOOKUP($B38,'County Data'!$B$10:$P$46,2,FALSE)</f>
        <v>8075</v>
      </c>
      <c r="D38" s="6">
        <f t="shared" si="0"/>
        <v>1.8919624981402535E-3</v>
      </c>
      <c r="E38" s="14">
        <f t="shared" si="1"/>
        <v>0</v>
      </c>
      <c r="F38" s="10">
        <f t="shared" si="2"/>
        <v>0</v>
      </c>
    </row>
    <row r="39" spans="2:6" x14ac:dyDescent="0.25">
      <c r="B39" s="20" t="str">
        <f>+'County Data'!$B$42</f>
        <v>Wallowa</v>
      </c>
      <c r="C39" s="15">
        <f>VLOOKUP($B39,'County Data'!$B$10:$P$46,2,FALSE)</f>
        <v>7160</v>
      </c>
      <c r="D39" s="6">
        <f t="shared" si="0"/>
        <v>1.6775791314779214E-3</v>
      </c>
      <c r="E39" s="14">
        <f t="shared" si="1"/>
        <v>0</v>
      </c>
      <c r="F39" s="10">
        <f t="shared" si="2"/>
        <v>0</v>
      </c>
    </row>
    <row r="40" spans="2:6" x14ac:dyDescent="0.25">
      <c r="B40" s="20" t="str">
        <f>'County Data'!$B$45</f>
        <v>Wheeler</v>
      </c>
      <c r="C40" s="15">
        <f>VLOOKUP($B40,'County Data'!$B$10:$P$46,2,FALSE)</f>
        <v>1440</v>
      </c>
      <c r="D40" s="6">
        <f t="shared" si="0"/>
        <v>3.373902163866211E-4</v>
      </c>
      <c r="E40" s="14">
        <f t="shared" si="1"/>
        <v>0</v>
      </c>
      <c r="F40" s="10">
        <f t="shared" si="2"/>
        <v>0</v>
      </c>
    </row>
    <row r="41" spans="2:6" x14ac:dyDescent="0.25">
      <c r="B41" s="4" t="s">
        <v>2</v>
      </c>
      <c r="C41" s="5">
        <f t="shared" ref="C41:D41" si="3">SUM(C7:C40)</f>
        <v>4268055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20" x14ac:dyDescent="0.25">
      <c r="B3" t="s">
        <v>0</v>
      </c>
      <c r="C3" s="1">
        <f>'County Data'!C5</f>
        <v>8000000</v>
      </c>
    </row>
    <row r="4" spans="2:20" x14ac:dyDescent="0.25">
      <c r="B4" t="s">
        <v>41</v>
      </c>
      <c r="C4" s="14">
        <f>C3*Input!C7</f>
        <v>1860000</v>
      </c>
    </row>
    <row r="6" spans="2:20" s="2" customFormat="1" ht="30" x14ac:dyDescent="0.25">
      <c r="B6" s="3" t="s">
        <v>7</v>
      </c>
      <c r="C6" s="3" t="s">
        <v>1</v>
      </c>
      <c r="D6" s="3" t="s">
        <v>90</v>
      </c>
      <c r="E6" s="13" t="s">
        <v>89</v>
      </c>
      <c r="F6" s="3" t="s">
        <v>6</v>
      </c>
      <c r="P6" s="2" t="s">
        <v>144</v>
      </c>
      <c r="Q6" s="2" t="s">
        <v>145</v>
      </c>
    </row>
    <row r="7" spans="2:20" x14ac:dyDescent="0.25">
      <c r="B7" s="20" t="str">
        <f>+'County Data'!$B$10</f>
        <v>Baker</v>
      </c>
      <c r="C7" s="15">
        <f>VLOOKUP($B7,'County Data'!$B$10:$P$46,2,FALSE)</f>
        <v>16910</v>
      </c>
      <c r="D7" s="15" t="str">
        <f>VLOOKUP($B7,'County Data'!$B$10:$P$46,3,FALSE)</f>
        <v>Extra Small</v>
      </c>
      <c r="E7" s="14">
        <f>VLOOKUP(D7,$H$7:$J$11,3,FALSE)</f>
        <v>30000</v>
      </c>
      <c r="F7" s="10">
        <f t="shared" ref="F7:F42" si="0">E7/C7</f>
        <v>1.7740981667652276</v>
      </c>
      <c r="H7" t="s">
        <v>44</v>
      </c>
      <c r="I7" s="7">
        <f>Input!$C$8</f>
        <v>3.7499999999999999E-3</v>
      </c>
      <c r="J7" s="60">
        <f>$C$3*I7</f>
        <v>30000</v>
      </c>
      <c r="O7" t="s">
        <v>44</v>
      </c>
      <c r="P7">
        <v>9</v>
      </c>
      <c r="Q7">
        <v>1</v>
      </c>
      <c r="R7">
        <f>P7*Q7</f>
        <v>9</v>
      </c>
    </row>
    <row r="8" spans="2:20" x14ac:dyDescent="0.25">
      <c r="B8" s="20" t="str">
        <f>+'County Data'!$B$11</f>
        <v>Benton</v>
      </c>
      <c r="C8" s="15">
        <f>VLOOKUP($B8,'County Data'!$B$10:$P$46,2,FALSE)</f>
        <v>94665</v>
      </c>
      <c r="D8" s="15" t="str">
        <f>VLOOKUP($B8,'County Data'!$B$10:$P$46,3,FALSE)</f>
        <v>Medium</v>
      </c>
      <c r="E8" s="14">
        <f t="shared" ref="E8:E42" si="1">VLOOKUP(D8,$H$7:$J$11,3,FALSE)</f>
        <v>60000</v>
      </c>
      <c r="F8" s="10">
        <f t="shared" si="0"/>
        <v>0.63381397559816199</v>
      </c>
      <c r="H8" t="s">
        <v>45</v>
      </c>
      <c r="I8" s="7">
        <f>Input!$C$9</f>
        <v>5.6249999999999998E-3</v>
      </c>
      <c r="J8" s="60">
        <f t="shared" ref="J8:J11" si="2">$C$3*I8</f>
        <v>45000</v>
      </c>
      <c r="O8" t="s">
        <v>45</v>
      </c>
      <c r="P8">
        <v>13</v>
      </c>
      <c r="Q8">
        <v>1.5</v>
      </c>
      <c r="R8">
        <f>P8*Q8</f>
        <v>19.5</v>
      </c>
    </row>
    <row r="9" spans="2:20" x14ac:dyDescent="0.25">
      <c r="B9" s="20" t="str">
        <f>+'County Data'!$B$12</f>
        <v>Clackamas</v>
      </c>
      <c r="C9" s="15">
        <f>VLOOKUP($B9,'County Data'!$B$10:$P$46,2,FALSE)</f>
        <v>426515</v>
      </c>
      <c r="D9" s="15" t="str">
        <f>VLOOKUP($B9,'County Data'!$B$10:$P$46,3,FALSE)</f>
        <v>Extra Large</v>
      </c>
      <c r="E9" s="14">
        <f t="shared" si="1"/>
        <v>90000</v>
      </c>
      <c r="F9" s="10">
        <f t="shared" si="0"/>
        <v>0.21101250835257845</v>
      </c>
      <c r="H9" t="s">
        <v>46</v>
      </c>
      <c r="I9" s="7">
        <f>Input!$C$10</f>
        <v>7.4999999999999997E-3</v>
      </c>
      <c r="J9" s="60">
        <f t="shared" si="2"/>
        <v>60000</v>
      </c>
      <c r="O9" t="s">
        <v>46</v>
      </c>
      <c r="P9">
        <v>7</v>
      </c>
      <c r="Q9">
        <v>2</v>
      </c>
      <c r="R9">
        <f>P9*Q9</f>
        <v>14</v>
      </c>
    </row>
    <row r="10" spans="2:20" x14ac:dyDescent="0.25">
      <c r="B10" s="20" t="str">
        <f>+'County Data'!$B$13</f>
        <v>Clatsop</v>
      </c>
      <c r="C10" s="15">
        <f>VLOOKUP($B10,'County Data'!$B$10:$P$46,2,FALSE)</f>
        <v>39455</v>
      </c>
      <c r="D10" s="15" t="str">
        <f>VLOOKUP($B10,'County Data'!$B$10:$P$46,3,FALSE)</f>
        <v>Small</v>
      </c>
      <c r="E10" s="14">
        <f t="shared" si="1"/>
        <v>45000</v>
      </c>
      <c r="F10" s="10">
        <f t="shared" si="0"/>
        <v>1.1405398555316184</v>
      </c>
      <c r="H10" t="s">
        <v>47</v>
      </c>
      <c r="I10" s="7">
        <f>Input!$C$11</f>
        <v>9.3749999999999997E-3</v>
      </c>
      <c r="J10" s="60">
        <f t="shared" si="2"/>
        <v>75000</v>
      </c>
      <c r="O10" t="s">
        <v>47</v>
      </c>
      <c r="P10">
        <v>3</v>
      </c>
      <c r="Q10">
        <v>2.5</v>
      </c>
      <c r="R10">
        <f>P10*Q10</f>
        <v>7.5</v>
      </c>
    </row>
    <row r="11" spans="2:20" x14ac:dyDescent="0.25">
      <c r="B11" s="20" t="str">
        <f>+'County Data'!$B$14</f>
        <v>Columbia</v>
      </c>
      <c r="C11" s="15">
        <f>VLOOKUP($B11,'County Data'!$B$10:$P$46,2,FALSE)</f>
        <v>53280</v>
      </c>
      <c r="D11" s="15" t="str">
        <f>VLOOKUP($B11,'County Data'!$B$10:$P$46,3,FALSE)</f>
        <v>Small</v>
      </c>
      <c r="E11" s="14">
        <f t="shared" si="1"/>
        <v>45000</v>
      </c>
      <c r="F11" s="10">
        <f t="shared" si="0"/>
        <v>0.84459459459459463</v>
      </c>
      <c r="H11" t="s">
        <v>48</v>
      </c>
      <c r="I11" s="7">
        <f>Input!$C$12</f>
        <v>1.125E-2</v>
      </c>
      <c r="J11" s="60">
        <f t="shared" si="2"/>
        <v>90000</v>
      </c>
      <c r="O11" t="s">
        <v>48</v>
      </c>
      <c r="P11">
        <v>4</v>
      </c>
      <c r="Q11">
        <v>3</v>
      </c>
      <c r="R11">
        <f>P11*Q11</f>
        <v>12</v>
      </c>
    </row>
    <row r="12" spans="2:20" x14ac:dyDescent="0.25">
      <c r="B12" s="20" t="str">
        <f>+'County Data'!$B$15</f>
        <v>Coos</v>
      </c>
      <c r="C12" s="15">
        <f>VLOOKUP($B12,'County Data'!$B$10:$P$46,2,FALSE)</f>
        <v>63315</v>
      </c>
      <c r="D12" s="15" t="str">
        <f>VLOOKUP($B12,'County Data'!$B$10:$P$46,3,FALSE)</f>
        <v>Small</v>
      </c>
      <c r="E12" s="14">
        <f t="shared" si="1"/>
        <v>45000</v>
      </c>
      <c r="F12" s="10">
        <f t="shared" si="0"/>
        <v>0.71073205401563611</v>
      </c>
      <c r="R12">
        <f>SUM(R7:R11)</f>
        <v>62</v>
      </c>
      <c r="S12" s="199">
        <f>1/R12</f>
        <v>1.6129032258064516E-2</v>
      </c>
      <c r="T12" s="70" t="s">
        <v>146</v>
      </c>
    </row>
    <row r="13" spans="2:20" x14ac:dyDescent="0.25">
      <c r="B13" s="20" t="str">
        <f>+'County Data'!$B$16</f>
        <v>Crook</v>
      </c>
      <c r="C13" s="15">
        <f>VLOOKUP($B13,'County Data'!$B$10:$P$46,2,FALSE)</f>
        <v>23440</v>
      </c>
      <c r="D13" s="15" t="str">
        <f>VLOOKUP($B13,'County Data'!$B$10:$P$46,3,FALSE)</f>
        <v>Small</v>
      </c>
      <c r="E13" s="14">
        <f t="shared" si="1"/>
        <v>45000</v>
      </c>
      <c r="F13" s="10">
        <f t="shared" si="0"/>
        <v>1.9197952218430034</v>
      </c>
    </row>
    <row r="14" spans="2:20" x14ac:dyDescent="0.25">
      <c r="B14" s="20" t="str">
        <f>+'County Data'!$B$17</f>
        <v>Curry</v>
      </c>
      <c r="C14" s="15">
        <f>VLOOKUP($B14,'County Data'!$B$10:$P$46,2,FALSE)</f>
        <v>23005</v>
      </c>
      <c r="D14" s="15" t="str">
        <f>VLOOKUP($B14,'County Data'!$B$10:$P$46,3,FALSE)</f>
        <v>Small</v>
      </c>
      <c r="E14" s="14">
        <f t="shared" si="1"/>
        <v>45000</v>
      </c>
      <c r="F14" s="10">
        <f t="shared" si="0"/>
        <v>1.9560965007607043</v>
      </c>
    </row>
    <row r="15" spans="2:20" x14ac:dyDescent="0.25">
      <c r="B15" s="20" t="str">
        <f>+'County Data'!$B$18</f>
        <v>Deschutes</v>
      </c>
      <c r="C15" s="15">
        <f>VLOOKUP($B15,'County Data'!$B$10:$P$46,2,FALSE)</f>
        <v>197015</v>
      </c>
      <c r="D15" s="15" t="str">
        <f>VLOOKUP($B15,'County Data'!$B$10:$P$46,3,FALSE)</f>
        <v>Large</v>
      </c>
      <c r="E15" s="14">
        <f t="shared" si="1"/>
        <v>75000</v>
      </c>
      <c r="F15" s="10">
        <f t="shared" si="0"/>
        <v>0.38068167398421437</v>
      </c>
    </row>
    <row r="16" spans="2:20" x14ac:dyDescent="0.25">
      <c r="B16" s="20" t="str">
        <f>+'County Data'!$B$19</f>
        <v>Douglas</v>
      </c>
      <c r="C16" s="15">
        <f>VLOOKUP($B16,'County Data'!$B$10:$P$46,2,FALSE)</f>
        <v>112530</v>
      </c>
      <c r="D16" s="15" t="str">
        <f>VLOOKUP($B16,'County Data'!$B$10:$P$46,3,FALSE)</f>
        <v>Medium</v>
      </c>
      <c r="E16" s="14">
        <f t="shared" si="1"/>
        <v>60000</v>
      </c>
      <c r="F16" s="10">
        <f t="shared" si="0"/>
        <v>0.5331911490269261</v>
      </c>
    </row>
    <row r="17" spans="2:6" x14ac:dyDescent="0.25">
      <c r="B17" s="195" t="str">
        <f>+'County Data'!$B$20</f>
        <v>Gilliam</v>
      </c>
      <c r="C17" s="196">
        <f>VLOOKUP($B17,'County Data'!$B$10:$P$46,2,FALSE)</f>
        <v>1990</v>
      </c>
      <c r="D17" s="196" t="str">
        <f>VLOOKUP($B17,'County Data'!$B$10:$P$46,3,FALSE)</f>
        <v>Extra Small</v>
      </c>
      <c r="E17" s="198">
        <f t="shared" si="1"/>
        <v>30000</v>
      </c>
      <c r="F17" s="197">
        <f t="shared" si="0"/>
        <v>15.075376884422111</v>
      </c>
    </row>
    <row r="18" spans="2:6" x14ac:dyDescent="0.25">
      <c r="B18" s="20" t="str">
        <f>+'County Data'!$B$21</f>
        <v>Grant</v>
      </c>
      <c r="C18" s="15">
        <f>VLOOKUP($B18,'County Data'!$B$10:$P$46,2,FALSE)</f>
        <v>7315</v>
      </c>
      <c r="D18" s="15" t="str">
        <f>VLOOKUP($B18,'County Data'!$B$10:$P$46,3,FALSE)</f>
        <v>Extra Small</v>
      </c>
      <c r="E18" s="14">
        <f t="shared" si="1"/>
        <v>30000</v>
      </c>
      <c r="F18" s="10">
        <f t="shared" si="0"/>
        <v>4.1011619958988383</v>
      </c>
    </row>
    <row r="19" spans="2:6" x14ac:dyDescent="0.25">
      <c r="B19" s="20" t="str">
        <f>+'County Data'!$B$22</f>
        <v>Harney</v>
      </c>
      <c r="C19" s="15">
        <f>VLOOKUP($B19,'County Data'!$B$10:$P$46,2,FALSE)</f>
        <v>7280</v>
      </c>
      <c r="D19" s="15" t="str">
        <f>VLOOKUP($B19,'County Data'!$B$10:$P$46,3,FALSE)</f>
        <v>Extra Small</v>
      </c>
      <c r="E19" s="14">
        <f t="shared" si="1"/>
        <v>30000</v>
      </c>
      <c r="F19" s="10">
        <f t="shared" si="0"/>
        <v>4.1208791208791204</v>
      </c>
    </row>
    <row r="20" spans="2:6" x14ac:dyDescent="0.25">
      <c r="B20" s="20" t="str">
        <f>+'County Data'!$B$23</f>
        <v>Hood River</v>
      </c>
      <c r="C20" s="15">
        <f>VLOOKUP($B20,'County Data'!$B$10:$P$46,2,FALSE)</f>
        <v>25640</v>
      </c>
      <c r="D20" s="15" t="str">
        <f>VLOOKUP($B20,'County Data'!$B$10:$P$46,3,FALSE)</f>
        <v>Small</v>
      </c>
      <c r="E20" s="14">
        <f t="shared" si="1"/>
        <v>45000</v>
      </c>
      <c r="F20" s="10">
        <f t="shared" si="0"/>
        <v>1.7550702028081124</v>
      </c>
    </row>
    <row r="21" spans="2:6" x14ac:dyDescent="0.25">
      <c r="B21" s="20" t="str">
        <f>+'County Data'!$B$24</f>
        <v>Jackson</v>
      </c>
      <c r="C21" s="15">
        <f>VLOOKUP($B21,'County Data'!$B$10:$P$46,2,FALSE)</f>
        <v>223240</v>
      </c>
      <c r="D21" s="15" t="str">
        <f>VLOOKUP($B21,'County Data'!$B$10:$P$46,3,FALSE)</f>
        <v>Large</v>
      </c>
      <c r="E21" s="14">
        <f t="shared" si="1"/>
        <v>75000</v>
      </c>
      <c r="F21" s="10">
        <f t="shared" si="0"/>
        <v>0.33596129725855584</v>
      </c>
    </row>
    <row r="22" spans="2:6" x14ac:dyDescent="0.25">
      <c r="B22" s="20" t="str">
        <f>+'County Data'!$B$25</f>
        <v>Jefferson</v>
      </c>
      <c r="C22" s="15">
        <f>VLOOKUP($B22,'County Data'!$B$10:$P$46,2,FALSE)</f>
        <v>24105</v>
      </c>
      <c r="D22" s="15" t="str">
        <f>VLOOKUP($B22,'County Data'!$B$10:$P$46,3,FALSE)</f>
        <v>Small</v>
      </c>
      <c r="E22" s="14">
        <f t="shared" si="1"/>
        <v>45000</v>
      </c>
      <c r="F22" s="10">
        <f t="shared" si="0"/>
        <v>1.8668326073428749</v>
      </c>
    </row>
    <row r="23" spans="2:6" x14ac:dyDescent="0.25">
      <c r="B23" s="20" t="str">
        <f>+'County Data'!$B$26</f>
        <v>Josephine</v>
      </c>
      <c r="C23" s="15">
        <f>VLOOKUP($B23,'County Data'!$B$10:$P$46,2,FALSE)</f>
        <v>86560</v>
      </c>
      <c r="D23" s="15" t="str">
        <f>VLOOKUP($B23,'County Data'!$B$10:$P$46,3,FALSE)</f>
        <v>Medium</v>
      </c>
      <c r="E23" s="14">
        <f t="shared" si="1"/>
        <v>60000</v>
      </c>
      <c r="F23" s="10">
        <f t="shared" si="0"/>
        <v>0.69316081330868762</v>
      </c>
    </row>
    <row r="24" spans="2:6" x14ac:dyDescent="0.25">
      <c r="B24" s="20" t="str">
        <f>+'County Data'!$B$27</f>
        <v>Klamath</v>
      </c>
      <c r="C24" s="15">
        <f>VLOOKUP($B24,'County Data'!$B$10:$P$46,2,FALSE)</f>
        <v>68075</v>
      </c>
      <c r="D24" s="15" t="str">
        <f>VLOOKUP($B24,'County Data'!$B$10:$P$46,3,FALSE)</f>
        <v>Small</v>
      </c>
      <c r="E24" s="14">
        <f t="shared" si="1"/>
        <v>45000</v>
      </c>
      <c r="F24" s="10">
        <f t="shared" si="0"/>
        <v>0.66103562247521119</v>
      </c>
    </row>
    <row r="25" spans="2:6" x14ac:dyDescent="0.25">
      <c r="B25" s="20" t="str">
        <f>+'County Data'!$B$28</f>
        <v>Lake</v>
      </c>
      <c r="C25" s="15">
        <f>VLOOKUP($B25,'County Data'!$B$10:$P$46,2,FALSE)</f>
        <v>8075</v>
      </c>
      <c r="D25" s="15" t="str">
        <f>VLOOKUP($B25,'County Data'!$B$10:$P$46,3,FALSE)</f>
        <v>Extra Small</v>
      </c>
      <c r="E25" s="14">
        <f t="shared" si="1"/>
        <v>30000</v>
      </c>
      <c r="F25" s="10">
        <f t="shared" si="0"/>
        <v>3.7151702786377707</v>
      </c>
    </row>
    <row r="26" spans="2:6" x14ac:dyDescent="0.25">
      <c r="B26" s="20" t="str">
        <f>+'County Data'!$B$29</f>
        <v>Lane</v>
      </c>
      <c r="C26" s="15">
        <f>VLOOKUP($B26,'County Data'!$B$10:$P$46,2,FALSE)</f>
        <v>381365</v>
      </c>
      <c r="D26" s="15" t="str">
        <f>VLOOKUP($B26,'County Data'!$B$10:$P$46,3,FALSE)</f>
        <v>Extra Large</v>
      </c>
      <c r="E26" s="14">
        <f t="shared" si="1"/>
        <v>90000</v>
      </c>
      <c r="F26" s="10">
        <f t="shared" si="0"/>
        <v>0.23599438857787158</v>
      </c>
    </row>
    <row r="27" spans="2:6" x14ac:dyDescent="0.25">
      <c r="B27" s="20" t="str">
        <f>+'County Data'!$B$30</f>
        <v>Lincoln</v>
      </c>
      <c r="C27" s="15">
        <f>VLOOKUP($B27,'County Data'!$B$10:$P$46,2,FALSE)</f>
        <v>48305</v>
      </c>
      <c r="D27" s="15" t="str">
        <f>VLOOKUP($B27,'County Data'!$B$10:$P$46,3,FALSE)</f>
        <v>Small</v>
      </c>
      <c r="E27" s="14">
        <f>VLOOKUP(D27,$H$7:$J$11,3,FALSE)</f>
        <v>45000</v>
      </c>
      <c r="F27" s="10">
        <f t="shared" si="0"/>
        <v>0.93158058172031877</v>
      </c>
    </row>
    <row r="28" spans="2:6" x14ac:dyDescent="0.25">
      <c r="B28" s="20" t="str">
        <f>+'County Data'!$B$31</f>
        <v>Linn</v>
      </c>
      <c r="C28" s="15">
        <f>VLOOKUP($B28,'County Data'!$B$10:$P$46,2,FALSE)</f>
        <v>127320</v>
      </c>
      <c r="D28" s="15" t="str">
        <f>VLOOKUP($B28,'County Data'!$B$10:$P$46,3,FALSE)</f>
        <v>Medium</v>
      </c>
      <c r="E28" s="14">
        <f t="shared" si="1"/>
        <v>60000</v>
      </c>
      <c r="F28" s="10">
        <f t="shared" si="0"/>
        <v>0.47125353440150802</v>
      </c>
    </row>
    <row r="29" spans="2:6" x14ac:dyDescent="0.25">
      <c r="B29" s="20" t="str">
        <f>+'County Data'!$B$32</f>
        <v>Malheur</v>
      </c>
      <c r="C29" s="15">
        <f>VLOOKUP($B29,'County Data'!$B$10:$P$46,2,FALSE)</f>
        <v>32105</v>
      </c>
      <c r="D29" s="15" t="str">
        <f>VLOOKUP($B29,'County Data'!$B$10:$P$46,3,FALSE)</f>
        <v>Small</v>
      </c>
      <c r="E29" s="14">
        <f t="shared" si="1"/>
        <v>45000</v>
      </c>
      <c r="F29" s="10">
        <f t="shared" si="0"/>
        <v>1.4016508332035509</v>
      </c>
    </row>
    <row r="30" spans="2:6" x14ac:dyDescent="0.25">
      <c r="B30" s="20" t="str">
        <f>+'County Data'!$B$33</f>
        <v>Marion</v>
      </c>
      <c r="C30" s="15">
        <f>VLOOKUP($B30,'County Data'!$B$10:$P$46,2,FALSE)</f>
        <v>349120</v>
      </c>
      <c r="D30" s="15" t="str">
        <f>VLOOKUP($B30,'County Data'!$B$10:$P$46,3,FALSE)</f>
        <v>Large</v>
      </c>
      <c r="E30" s="14">
        <f t="shared" si="1"/>
        <v>75000</v>
      </c>
      <c r="F30" s="10">
        <f t="shared" si="0"/>
        <v>0.21482584784601283</v>
      </c>
    </row>
    <row r="31" spans="2:6" x14ac:dyDescent="0.25">
      <c r="B31" s="20" t="str">
        <f>+'County Data'!$B$34</f>
        <v>Morrow</v>
      </c>
      <c r="C31" s="15">
        <f>VLOOKUP($B31,'County Data'!$B$10:$P$46,2,FALSE)</f>
        <v>12825</v>
      </c>
      <c r="D31" s="15" t="str">
        <f>VLOOKUP($B31,'County Data'!$B$10:$P$46,3,FALSE)</f>
        <v>Extra Small</v>
      </c>
      <c r="E31" s="14">
        <f t="shared" si="1"/>
        <v>30000</v>
      </c>
      <c r="F31" s="10">
        <f t="shared" si="0"/>
        <v>2.3391812865497075</v>
      </c>
    </row>
    <row r="32" spans="2:6" x14ac:dyDescent="0.25">
      <c r="B32" s="20" t="str">
        <f>+'County Data'!$B$35</f>
        <v>Multnomah</v>
      </c>
      <c r="C32" s="15">
        <f>VLOOKUP($B32,'County Data'!$B$10:$P$46,2,FALSE)</f>
        <v>829560</v>
      </c>
      <c r="D32" s="15" t="str">
        <f>VLOOKUP($B32,'County Data'!$B$10:$P$46,3,FALSE)</f>
        <v>Extra Large</v>
      </c>
      <c r="E32" s="14">
        <f t="shared" si="1"/>
        <v>90000</v>
      </c>
      <c r="F32" s="10">
        <f t="shared" si="0"/>
        <v>0.10849124837263127</v>
      </c>
    </row>
    <row r="33" spans="2:6" x14ac:dyDescent="0.25">
      <c r="B33" s="20" t="str">
        <f>+'County Data'!$B$37</f>
        <v>Polk</v>
      </c>
      <c r="C33" s="15">
        <f>VLOOKUP($B33,'County Data'!$B$10:$P$46,2,FALSE)</f>
        <v>83805</v>
      </c>
      <c r="D33" s="15" t="str">
        <f>VLOOKUP($B33,'County Data'!$B$10:$P$46,3,FALSE)</f>
        <v>Medium</v>
      </c>
      <c r="E33" s="14">
        <f t="shared" si="1"/>
        <v>60000</v>
      </c>
      <c r="F33" s="10">
        <f t="shared" si="0"/>
        <v>0.71594773581528548</v>
      </c>
    </row>
    <row r="34" spans="2:6" x14ac:dyDescent="0.25">
      <c r="B34" s="195" t="str">
        <f>+'County Data'!$B$38</f>
        <v>Sherman</v>
      </c>
      <c r="C34" s="196">
        <f>VLOOKUP($B34,'County Data'!$B$10:$P$46,2,FALSE)</f>
        <v>1795</v>
      </c>
      <c r="D34" s="196" t="str">
        <f>VLOOKUP($B34,'County Data'!$B$10:$P$46,3,FALSE)</f>
        <v>Extra Small</v>
      </c>
      <c r="E34" s="198">
        <f t="shared" si="1"/>
        <v>30000</v>
      </c>
      <c r="F34" s="197">
        <f t="shared" si="0"/>
        <v>16.713091922005571</v>
      </c>
    </row>
    <row r="35" spans="2:6" x14ac:dyDescent="0.25">
      <c r="B35" s="20" t="str">
        <f>+'County Data'!$B$39</f>
        <v>Tillamook</v>
      </c>
      <c r="C35" s="15">
        <f>VLOOKUP($B35,'County Data'!$B$10:$P$46,2,FALSE)</f>
        <v>26530</v>
      </c>
      <c r="D35" s="15" t="str">
        <f>VLOOKUP($B35,'County Data'!$B$10:$P$46,3,FALSE)</f>
        <v>Small</v>
      </c>
      <c r="E35" s="14">
        <f t="shared" si="1"/>
        <v>45000</v>
      </c>
      <c r="F35" s="10">
        <f t="shared" si="0"/>
        <v>1.6961929890689784</v>
      </c>
    </row>
    <row r="36" spans="2:6" x14ac:dyDescent="0.25">
      <c r="B36" s="20" t="str">
        <f>+'County Data'!$B$40</f>
        <v>Umatilla</v>
      </c>
      <c r="C36" s="15">
        <f>VLOOKUP($B36,'County Data'!$B$10:$P$46,2,FALSE)</f>
        <v>81495</v>
      </c>
      <c r="D36" s="15" t="str">
        <f>VLOOKUP($B36,'County Data'!$B$10:$P$46,3,FALSE)</f>
        <v>Medium</v>
      </c>
      <c r="E36" s="14">
        <f t="shared" si="1"/>
        <v>60000</v>
      </c>
      <c r="F36" s="10">
        <f t="shared" si="0"/>
        <v>0.73624148720780414</v>
      </c>
    </row>
    <row r="37" spans="2:6" x14ac:dyDescent="0.25">
      <c r="B37" s="20" t="str">
        <f>+'County Data'!$B$41</f>
        <v>Union</v>
      </c>
      <c r="C37" s="15">
        <f>VLOOKUP($B37,'County Data'!$B$10:$P$46,2,FALSE)</f>
        <v>26840</v>
      </c>
      <c r="D37" s="15" t="str">
        <f>VLOOKUP($B37,'County Data'!$B$10:$P$46,3,FALSE)</f>
        <v>Small</v>
      </c>
      <c r="E37" s="14">
        <f t="shared" si="1"/>
        <v>45000</v>
      </c>
      <c r="F37" s="10">
        <f t="shared" si="0"/>
        <v>1.6766020864381521</v>
      </c>
    </row>
    <row r="38" spans="2:6" x14ac:dyDescent="0.25">
      <c r="B38" s="20" t="str">
        <f>+'County Data'!$B$42</f>
        <v>Wallowa</v>
      </c>
      <c r="C38" s="15">
        <f>VLOOKUP($B38,'County Data'!$B$10:$P$46,2,FALSE)</f>
        <v>7160</v>
      </c>
      <c r="D38" s="15" t="str">
        <f>VLOOKUP($B38,'County Data'!$B$10:$P$46,3,FALSE)</f>
        <v>Extra Small</v>
      </c>
      <c r="E38" s="14">
        <f t="shared" si="1"/>
        <v>30000</v>
      </c>
      <c r="F38" s="10">
        <f t="shared" si="0"/>
        <v>4.1899441340782122</v>
      </c>
    </row>
    <row r="39" spans="2:6" x14ac:dyDescent="0.25">
      <c r="B39" s="195" t="str">
        <f>+'County Data'!$B$43</f>
        <v>Wasco</v>
      </c>
      <c r="C39" s="196">
        <f>VLOOKUP($B39,'County Data'!$B$10:$P$46,2,FALSE)</f>
        <v>27295</v>
      </c>
      <c r="D39" s="196" t="str">
        <f>VLOOKUP($B39,'County Data'!$B$10:$P$46,3,FALSE)</f>
        <v>Small</v>
      </c>
      <c r="E39" s="198">
        <f t="shared" si="1"/>
        <v>45000</v>
      </c>
      <c r="F39" s="197">
        <f t="shared" si="0"/>
        <v>1.6486535995603591</v>
      </c>
    </row>
    <row r="40" spans="2:6" x14ac:dyDescent="0.25">
      <c r="B40" s="20" t="str">
        <f>+'County Data'!$B$44</f>
        <v>Washington</v>
      </c>
      <c r="C40" s="15">
        <f>VLOOKUP($B40,'County Data'!$B$10:$P$46,2,FALSE)</f>
        <v>620080</v>
      </c>
      <c r="D40" s="15" t="str">
        <f>VLOOKUP($B40,'County Data'!$B$10:$P$46,3,FALSE)</f>
        <v>Extra Large</v>
      </c>
      <c r="E40" s="14">
        <f t="shared" si="1"/>
        <v>90000</v>
      </c>
      <c r="F40" s="10">
        <f t="shared" si="0"/>
        <v>0.14514256225003225</v>
      </c>
    </row>
    <row r="41" spans="2:6" x14ac:dyDescent="0.25">
      <c r="B41" s="20" t="str">
        <f>'County Data'!$B$45</f>
        <v>Wheeler</v>
      </c>
      <c r="C41" s="15">
        <f>VLOOKUP($B41,'County Data'!$B$10:$P$46,2,FALSE)</f>
        <v>1440</v>
      </c>
      <c r="D41" s="15" t="str">
        <f>VLOOKUP($B41,'County Data'!$B$10:$P$46,3,FALSE)</f>
        <v>Extra Small</v>
      </c>
      <c r="E41" s="14">
        <f t="shared" si="1"/>
        <v>30000</v>
      </c>
      <c r="F41" s="10">
        <f t="shared" si="0"/>
        <v>20.833333333333332</v>
      </c>
    </row>
    <row r="42" spans="2:6" x14ac:dyDescent="0.25">
      <c r="B42" s="20" t="str">
        <f>+'County Data'!$B$46</f>
        <v>Yamhill</v>
      </c>
      <c r="C42" s="15">
        <f>VLOOKUP($B42,'County Data'!$B$10:$P$46,2,FALSE)</f>
        <v>108605</v>
      </c>
      <c r="D42" s="15" t="str">
        <f>VLOOKUP($B42,'County Data'!$B$10:$P$46,3,FALSE)</f>
        <v>Medium</v>
      </c>
      <c r="E42" s="14">
        <f t="shared" si="1"/>
        <v>60000</v>
      </c>
      <c r="F42" s="10">
        <f t="shared" si="0"/>
        <v>0.552460752267391</v>
      </c>
    </row>
    <row r="43" spans="2:6" x14ac:dyDescent="0.25">
      <c r="B43" s="4" t="s">
        <v>2</v>
      </c>
      <c r="C43" s="5">
        <f t="shared" ref="C43:D43" si="3">SUM(C7:C42)</f>
        <v>4268055</v>
      </c>
      <c r="D43" s="8">
        <f t="shared" si="3"/>
        <v>0</v>
      </c>
      <c r="E43" s="11">
        <f>SUM(E7:E42)</f>
        <v>1860000</v>
      </c>
      <c r="F43" s="12">
        <f t="shared" ref="F43" si="4">E43/C43</f>
        <v>0.43579569616605224</v>
      </c>
    </row>
    <row r="44" spans="2:6" x14ac:dyDescent="0.25">
      <c r="E44" s="22">
        <f>E43-C4</f>
        <v>0</v>
      </c>
    </row>
    <row r="45" spans="2:6" x14ac:dyDescent="0.25">
      <c r="B45" s="58" t="s">
        <v>85</v>
      </c>
      <c r="C45" s="59">
        <f>SUM(C17,C34,C39)</f>
        <v>31080</v>
      </c>
      <c r="D45" s="58"/>
      <c r="E45" s="59">
        <f>SUM(E17,E34,E39)</f>
        <v>105000</v>
      </c>
      <c r="F45" s="10">
        <f>E45/C45</f>
        <v>3.3783783783783785</v>
      </c>
    </row>
    <row r="51" spans="13:19" x14ac:dyDescent="0.25">
      <c r="N51">
        <v>1.6299999999999999E-2</v>
      </c>
    </row>
    <row r="52" spans="13:19" x14ac:dyDescent="0.25">
      <c r="N52" t="s">
        <v>144</v>
      </c>
      <c r="Q52" t="s">
        <v>143</v>
      </c>
    </row>
    <row r="53" spans="13:19" x14ac:dyDescent="0.25">
      <c r="M53" t="s">
        <v>138</v>
      </c>
      <c r="N53">
        <v>9</v>
      </c>
      <c r="O53">
        <v>2</v>
      </c>
      <c r="Q53">
        <v>1</v>
      </c>
      <c r="S53">
        <f>Q53*N53</f>
        <v>9</v>
      </c>
    </row>
    <row r="54" spans="13:19" x14ac:dyDescent="0.25">
      <c r="M54" t="s">
        <v>139</v>
      </c>
      <c r="N54">
        <v>13</v>
      </c>
      <c r="O54">
        <v>1</v>
      </c>
      <c r="Q54">
        <v>1.5</v>
      </c>
      <c r="S54">
        <f>Q54*N54</f>
        <v>19.5</v>
      </c>
    </row>
    <row r="55" spans="13:19" x14ac:dyDescent="0.25">
      <c r="M55" t="s">
        <v>140</v>
      </c>
      <c r="N55">
        <v>7</v>
      </c>
      <c r="Q55">
        <v>2</v>
      </c>
      <c r="S55">
        <f>Q55*N55</f>
        <v>14</v>
      </c>
    </row>
    <row r="56" spans="13:19" x14ac:dyDescent="0.25">
      <c r="M56" t="s">
        <v>141</v>
      </c>
      <c r="N56">
        <v>3</v>
      </c>
      <c r="Q56">
        <v>2.5</v>
      </c>
      <c r="S56">
        <f>Q56*N56</f>
        <v>7.5</v>
      </c>
    </row>
    <row r="57" spans="13:19" x14ac:dyDescent="0.25">
      <c r="M57" t="s">
        <v>142</v>
      </c>
      <c r="N57">
        <v>4</v>
      </c>
      <c r="Q57">
        <v>3</v>
      </c>
      <c r="S57">
        <f>Q57*N57</f>
        <v>12</v>
      </c>
    </row>
    <row r="58" spans="13:19" x14ac:dyDescent="0.25">
      <c r="N58">
        <f>SUM(N53:N57)</f>
        <v>36</v>
      </c>
      <c r="S58">
        <f>SUM(S53:S57)</f>
        <v>62</v>
      </c>
    </row>
    <row r="59" spans="13:19" x14ac:dyDescent="0.25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I27" sqref="I27"/>
    </sheetView>
  </sheetViews>
  <sheetFormatPr defaultRowHeight="15" x14ac:dyDescent="0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 x14ac:dyDescent="0.25">
      <c r="B3" t="s">
        <v>0</v>
      </c>
      <c r="C3" s="1">
        <f>'County Data'!C5</f>
        <v>8000000</v>
      </c>
    </row>
    <row r="4" spans="2:11" x14ac:dyDescent="0.25">
      <c r="B4" t="s">
        <v>41</v>
      </c>
      <c r="C4" s="14">
        <f>'County Data'!E9</f>
        <v>1023333.3333333333</v>
      </c>
      <c r="D4" s="9"/>
    </row>
    <row r="5" spans="2:11" x14ac:dyDescent="0.25">
      <c r="B5" s="26"/>
      <c r="C5" s="26"/>
      <c r="D5" s="26"/>
      <c r="E5" s="26"/>
      <c r="F5" s="26"/>
      <c r="G5" s="26"/>
      <c r="H5" s="26"/>
    </row>
    <row r="6" spans="2:11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25">
      <c r="B7" s="20" t="str">
        <f>'County Data'!$B$11</f>
        <v>Benton</v>
      </c>
      <c r="C7" s="15">
        <f>VLOOKUP($B7,'County Data'!$B$10:$L$46,2,FALSE)</f>
        <v>94665</v>
      </c>
      <c r="D7" s="34">
        <f>VLOOKUP(B7,'County Data'!$B$10:$L$46,4,FALSE)</f>
        <v>4.0668929999999999E-2</v>
      </c>
      <c r="E7" s="31">
        <f t="shared" ref="E7:E40" si="0">C7*D7</f>
        <v>3849.9242584499998</v>
      </c>
      <c r="F7" s="6">
        <f t="shared" ref="F7:F40" si="1">E7/$E$41</f>
        <v>1.3983703793693781E-2</v>
      </c>
      <c r="G7" s="14">
        <f t="shared" ref="G7:G40" si="2">$C$4*F7</f>
        <v>14309.990215546635</v>
      </c>
      <c r="H7" s="10">
        <f t="shared" ref="H7:H40" si="3">G7/C7</f>
        <v>0.15116452982144019</v>
      </c>
      <c r="I7" s="22"/>
      <c r="K7" s="32"/>
    </row>
    <row r="8" spans="2:11" x14ac:dyDescent="0.25">
      <c r="B8" s="20" t="str">
        <f>'County Data'!$B$44</f>
        <v>Washington</v>
      </c>
      <c r="C8" s="15">
        <f>VLOOKUP($B8,'County Data'!$B$10:$L$46,2,FALSE)</f>
        <v>620080</v>
      </c>
      <c r="D8" s="34">
        <f>VLOOKUP(B8,'County Data'!$B$10:$L$46,4,FALSE)</f>
        <v>4.2650979999999998E-2</v>
      </c>
      <c r="E8" s="31">
        <f t="shared" si="0"/>
        <v>26447.0196784</v>
      </c>
      <c r="F8" s="6">
        <f t="shared" si="1"/>
        <v>9.6060926029134561E-2</v>
      </c>
      <c r="G8" s="14">
        <f t="shared" si="2"/>
        <v>98302.347636481019</v>
      </c>
      <c r="H8" s="10">
        <f t="shared" si="3"/>
        <v>0.15853171790169174</v>
      </c>
      <c r="I8" s="22"/>
    </row>
    <row r="9" spans="2:11" x14ac:dyDescent="0.25">
      <c r="B9" s="20" t="str">
        <f>'County Data'!$B$23</f>
        <v>Hood River</v>
      </c>
      <c r="C9" s="15">
        <f>VLOOKUP($B9,'County Data'!$B$10:$L$46,2,FALSE)</f>
        <v>25640</v>
      </c>
      <c r="D9" s="34">
        <f>VLOOKUP(B9,'County Data'!$B$10:$L$46,4,FALSE)</f>
        <v>4.750973E-2</v>
      </c>
      <c r="E9" s="31">
        <f t="shared" si="0"/>
        <v>1218.1494772000001</v>
      </c>
      <c r="F9" s="6">
        <f t="shared" si="1"/>
        <v>4.4245653478039628E-3</v>
      </c>
      <c r="G9" s="14">
        <f t="shared" si="2"/>
        <v>4527.8052059193878</v>
      </c>
      <c r="H9" s="10">
        <f t="shared" si="3"/>
        <v>0.17659146668952372</v>
      </c>
      <c r="I9" s="22"/>
    </row>
    <row r="10" spans="2:11" x14ac:dyDescent="0.25">
      <c r="B10" s="20" t="str">
        <f>'County Data'!$B$12</f>
        <v>Clackamas</v>
      </c>
      <c r="C10" s="15">
        <f>VLOOKUP($B10,'County Data'!$B$10:$L$46,2,FALSE)</f>
        <v>426515</v>
      </c>
      <c r="D10" s="34">
        <f>VLOOKUP(B10,'County Data'!$B$10:$L$46,4,FALSE)</f>
        <v>5.6630379999999994E-2</v>
      </c>
      <c r="E10" s="31">
        <f t="shared" si="0"/>
        <v>24153.706525699996</v>
      </c>
      <c r="F10" s="6">
        <f t="shared" si="1"/>
        <v>8.7731148693086389E-2</v>
      </c>
      <c r="G10" s="14">
        <f t="shared" si="2"/>
        <v>89778.208829258394</v>
      </c>
      <c r="H10" s="10">
        <f t="shared" si="3"/>
        <v>0.21049250044959356</v>
      </c>
      <c r="I10" s="22"/>
    </row>
    <row r="11" spans="2:11" x14ac:dyDescent="0.25">
      <c r="B11" s="20" t="str">
        <f>'County Data'!$B$37</f>
        <v>Polk</v>
      </c>
      <c r="C11" s="15">
        <f>VLOOKUP($B11,'County Data'!$B$10:$L$46,2,FALSE)</f>
        <v>83805</v>
      </c>
      <c r="D11" s="34">
        <f>VLOOKUP(B11,'County Data'!$B$10:$L$46,4,FALSE)</f>
        <v>6.0078370000000006E-2</v>
      </c>
      <c r="E11" s="31">
        <f t="shared" si="0"/>
        <v>5034.8677978500009</v>
      </c>
      <c r="F11" s="6">
        <f t="shared" si="1"/>
        <v>1.8287658457438741E-2</v>
      </c>
      <c r="G11" s="14">
        <f t="shared" si="2"/>
        <v>18714.370488112312</v>
      </c>
      <c r="H11" s="10">
        <f t="shared" si="3"/>
        <v>0.22330851963620682</v>
      </c>
      <c r="I11" s="22"/>
    </row>
    <row r="12" spans="2:11" x14ac:dyDescent="0.25">
      <c r="B12" s="20" t="str">
        <f>'County Data'!$B$18</f>
        <v>Deschutes</v>
      </c>
      <c r="C12" s="15">
        <f>VLOOKUP($B12,'County Data'!$B$10:$L$46,2,FALSE)</f>
        <v>197015</v>
      </c>
      <c r="D12" s="34">
        <f>VLOOKUP(B12,'County Data'!$B$10:$L$46,4,FALSE)</f>
        <v>5.375133E-2</v>
      </c>
      <c r="E12" s="31">
        <f t="shared" si="0"/>
        <v>10589.818279949999</v>
      </c>
      <c r="F12" s="6">
        <f t="shared" si="1"/>
        <v>3.8464362443193706E-2</v>
      </c>
      <c r="G12" s="14">
        <f t="shared" si="2"/>
        <v>39361.864233534892</v>
      </c>
      <c r="H12" s="10">
        <f t="shared" si="3"/>
        <v>0.1997912049008192</v>
      </c>
      <c r="I12" s="22"/>
    </row>
    <row r="13" spans="2:11" x14ac:dyDescent="0.25">
      <c r="B13" s="20" t="str">
        <f>'County Data'!$B$46</f>
        <v>Yamhill</v>
      </c>
      <c r="C13" s="15">
        <f>VLOOKUP($B13,'County Data'!$B$10:$L$46,2,FALSE)</f>
        <v>108605</v>
      </c>
      <c r="D13" s="34">
        <f>VLOOKUP(B13,'County Data'!$B$10:$L$46,4,FALSE)</f>
        <v>6.2846349999999995E-2</v>
      </c>
      <c r="E13" s="31">
        <f t="shared" si="0"/>
        <v>6825.4278417499991</v>
      </c>
      <c r="F13" s="6">
        <f t="shared" si="1"/>
        <v>2.4791334789191204E-2</v>
      </c>
      <c r="G13" s="14">
        <f t="shared" si="2"/>
        <v>25369.799267605664</v>
      </c>
      <c r="H13" s="10">
        <f t="shared" si="3"/>
        <v>0.23359697313756883</v>
      </c>
      <c r="I13" s="22"/>
    </row>
    <row r="14" spans="2:11" x14ac:dyDescent="0.25">
      <c r="B14" s="20" t="str">
        <f>'County Data'!$B$21</f>
        <v>Grant</v>
      </c>
      <c r="C14" s="15">
        <f>VLOOKUP($B14,'County Data'!$B$10:$L$46,2,FALSE)</f>
        <v>7315</v>
      </c>
      <c r="D14" s="34">
        <f>VLOOKUP(B14,'County Data'!$B$10:$L$46,4,FALSE)</f>
        <v>7.9334200000000007E-2</v>
      </c>
      <c r="E14" s="31">
        <f t="shared" si="0"/>
        <v>580.32967300000007</v>
      </c>
      <c r="F14" s="6">
        <f t="shared" si="1"/>
        <v>2.1078747801626567E-3</v>
      </c>
      <c r="G14" s="14">
        <f t="shared" si="2"/>
        <v>2157.0585250331187</v>
      </c>
      <c r="H14" s="10">
        <f t="shared" si="3"/>
        <v>0.29488154819318096</v>
      </c>
      <c r="I14" s="22"/>
    </row>
    <row r="15" spans="2:11" x14ac:dyDescent="0.25">
      <c r="B15" s="20" t="str">
        <f>'County Data'!$B$34</f>
        <v>Morrow</v>
      </c>
      <c r="C15" s="15">
        <f>VLOOKUP($B15,'County Data'!$B$10:$L$46,2,FALSE)</f>
        <v>12825</v>
      </c>
      <c r="D15" s="34">
        <f>VLOOKUP(B15,'County Data'!$B$10:$L$46,4,FALSE)</f>
        <v>6.6599549999999993E-2</v>
      </c>
      <c r="E15" s="31">
        <f t="shared" si="0"/>
        <v>854.13922874999992</v>
      </c>
      <c r="F15" s="6">
        <f t="shared" si="1"/>
        <v>3.1024064816856383E-3</v>
      </c>
      <c r="G15" s="14">
        <f t="shared" si="2"/>
        <v>3174.795966258303</v>
      </c>
      <c r="H15" s="10">
        <f t="shared" si="3"/>
        <v>0.24754744376283064</v>
      </c>
      <c r="I15" s="22"/>
    </row>
    <row r="16" spans="2:11" x14ac:dyDescent="0.25">
      <c r="B16" s="20" t="str">
        <f>'County Data'!$B$45</f>
        <v>Wheeler</v>
      </c>
      <c r="C16" s="15">
        <f>VLOOKUP($B16,'County Data'!$B$10:$L$46,2,FALSE)</f>
        <v>1440</v>
      </c>
      <c r="D16" s="34">
        <f>VLOOKUP(B16,'County Data'!$B$10:$L$46,4,FALSE)</f>
        <v>6.5306119999999995E-2</v>
      </c>
      <c r="E16" s="31">
        <f t="shared" si="0"/>
        <v>94.040812799999998</v>
      </c>
      <c r="F16" s="6">
        <f t="shared" si="1"/>
        <v>3.4157525770204329E-4</v>
      </c>
      <c r="G16" s="14">
        <f t="shared" si="2"/>
        <v>349.54534704842428</v>
      </c>
      <c r="H16" s="10">
        <f t="shared" si="3"/>
        <v>0.24273982433918354</v>
      </c>
      <c r="I16" s="22"/>
    </row>
    <row r="17" spans="2:9" x14ac:dyDescent="0.25">
      <c r="B17" s="20" t="str">
        <f>'County Data'!$B$33</f>
        <v>Marion</v>
      </c>
      <c r="C17" s="15">
        <f>VLOOKUP($B17,'County Data'!$B$10:$L$46,2,FALSE)</f>
        <v>349120</v>
      </c>
      <c r="D17" s="34">
        <f>VLOOKUP(B17,'County Data'!$B$10:$L$46,4,FALSE)</f>
        <v>6.3607510000000006E-2</v>
      </c>
      <c r="E17" s="31">
        <f t="shared" si="0"/>
        <v>22206.653891200003</v>
      </c>
      <c r="F17" s="6">
        <f t="shared" si="1"/>
        <v>8.0659059611899953E-2</v>
      </c>
      <c r="G17" s="14">
        <f t="shared" si="2"/>
        <v>82541.10433617761</v>
      </c>
      <c r="H17" s="10">
        <f t="shared" si="3"/>
        <v>0.2364261696155408</v>
      </c>
      <c r="I17" s="22"/>
    </row>
    <row r="18" spans="2:9" x14ac:dyDescent="0.25">
      <c r="B18" s="20" t="str">
        <f>'County Data'!$B$35</f>
        <v>Multnomah</v>
      </c>
      <c r="C18" s="15">
        <f>VLOOKUP($B18,'County Data'!$B$10:$L$46,2,FALSE)</f>
        <v>829560</v>
      </c>
      <c r="D18" s="34">
        <f>VLOOKUP(B18,'County Data'!$B$10:$L$46,4,FALSE)</f>
        <v>6.2221129999999999E-2</v>
      </c>
      <c r="E18" s="31">
        <f t="shared" si="0"/>
        <v>51616.160602800002</v>
      </c>
      <c r="F18" s="6">
        <f t="shared" si="1"/>
        <v>0.18748033789316065</v>
      </c>
      <c r="G18" s="14">
        <f t="shared" si="2"/>
        <v>191854.87911066771</v>
      </c>
      <c r="H18" s="10">
        <f t="shared" si="3"/>
        <v>0.23127305934551776</v>
      </c>
      <c r="I18" s="22"/>
    </row>
    <row r="19" spans="2:9" x14ac:dyDescent="0.25">
      <c r="B19" s="20" t="str">
        <f>'County Data'!$B$29</f>
        <v>Lane</v>
      </c>
      <c r="C19" s="15">
        <f>VLOOKUP($B19,'County Data'!$B$10:$L$46,2,FALSE)</f>
        <v>381365</v>
      </c>
      <c r="D19" s="34">
        <f>VLOOKUP(B19,'County Data'!$B$10:$L$46,4,FALSE)</f>
        <v>6.8141679999999996E-2</v>
      </c>
      <c r="E19" s="31">
        <f t="shared" si="0"/>
        <v>25986.8517932</v>
      </c>
      <c r="F19" s="6">
        <f t="shared" si="1"/>
        <v>9.4389503172468289E-2</v>
      </c>
      <c r="G19" s="14">
        <f t="shared" si="2"/>
        <v>96591.924913159208</v>
      </c>
      <c r="H19" s="10">
        <f t="shared" si="3"/>
        <v>0.25327946957156322</v>
      </c>
      <c r="I19" s="22"/>
    </row>
    <row r="20" spans="2:9" x14ac:dyDescent="0.25">
      <c r="B20" s="20" t="str">
        <f>'County Data'!$B$41</f>
        <v>Union</v>
      </c>
      <c r="C20" s="15">
        <f>VLOOKUP($B20,'County Data'!$B$10:$L$46,2,FALSE)</f>
        <v>26840</v>
      </c>
      <c r="D20" s="34">
        <f>VLOOKUP(B20,'County Data'!$B$10:$L$46,4,FALSE)</f>
        <v>7.7874589999999994E-2</v>
      </c>
      <c r="E20" s="31">
        <f t="shared" si="0"/>
        <v>2090.1539955999997</v>
      </c>
      <c r="F20" s="6">
        <f t="shared" si="1"/>
        <v>7.5918621758661086E-3</v>
      </c>
      <c r="G20" s="14">
        <f t="shared" si="2"/>
        <v>7769.0056266363172</v>
      </c>
      <c r="H20" s="10">
        <f t="shared" si="3"/>
        <v>0.2894562454037376</v>
      </c>
      <c r="I20" s="22"/>
    </row>
    <row r="21" spans="2:9" x14ac:dyDescent="0.25">
      <c r="B21" s="20" t="str">
        <f>'County Data'!$B$32</f>
        <v>Malheur</v>
      </c>
      <c r="C21" s="15">
        <f>VLOOKUP($B21,'County Data'!$B$10:$L$46,2,FALSE)</f>
        <v>32105</v>
      </c>
      <c r="D21" s="34">
        <f>VLOOKUP(B21,'County Data'!$B$10:$L$46,4,FALSE)</f>
        <v>7.7298069999999997E-2</v>
      </c>
      <c r="E21" s="31">
        <f t="shared" si="0"/>
        <v>2481.6545373499998</v>
      </c>
      <c r="F21" s="6">
        <f t="shared" si="1"/>
        <v>9.0138713488742972E-3</v>
      </c>
      <c r="G21" s="14">
        <f t="shared" si="2"/>
        <v>9224.195013681363</v>
      </c>
      <c r="H21" s="10">
        <f t="shared" si="3"/>
        <v>0.28731334725685603</v>
      </c>
      <c r="I21" s="22"/>
    </row>
    <row r="22" spans="2:9" x14ac:dyDescent="0.25">
      <c r="B22" s="20" t="str">
        <f>'County Data'!$B$31</f>
        <v>Linn</v>
      </c>
      <c r="C22" s="15">
        <f>VLOOKUP($B22,'County Data'!$B$10:$L$46,2,FALSE)</f>
        <v>127320</v>
      </c>
      <c r="D22" s="34">
        <f>VLOOKUP(B22,'County Data'!$B$10:$L$46,4,FALSE)</f>
        <v>7.4680110000000008E-2</v>
      </c>
      <c r="E22" s="31">
        <f t="shared" si="0"/>
        <v>9508.2716052000014</v>
      </c>
      <c r="F22" s="6">
        <f t="shared" si="1"/>
        <v>3.4535966110314308E-2</v>
      </c>
      <c r="G22" s="14">
        <f t="shared" si="2"/>
        <v>35341.805319554973</v>
      </c>
      <c r="H22" s="10">
        <f t="shared" si="3"/>
        <v>0.277582511149505</v>
      </c>
      <c r="I22" s="22"/>
    </row>
    <row r="23" spans="2:9" x14ac:dyDescent="0.25">
      <c r="B23" s="20" t="str">
        <f>'County Data'!$B$40</f>
        <v>Umatilla</v>
      </c>
      <c r="C23" s="15">
        <f>VLOOKUP($B23,'County Data'!$B$10:$L$46,2,FALSE)</f>
        <v>81495</v>
      </c>
      <c r="D23" s="34">
        <f>VLOOKUP(B23,'County Data'!$B$10:$L$46,4,FALSE)</f>
        <v>7.0862040000000001E-2</v>
      </c>
      <c r="E23" s="31">
        <f t="shared" si="0"/>
        <v>5774.9019497999998</v>
      </c>
      <c r="F23" s="6">
        <f t="shared" si="1"/>
        <v>2.097561221532708E-2</v>
      </c>
      <c r="G23" s="14">
        <f t="shared" si="2"/>
        <v>21465.043167018044</v>
      </c>
      <c r="H23" s="10">
        <f t="shared" si="3"/>
        <v>0.2633909217377513</v>
      </c>
      <c r="I23" s="22"/>
    </row>
    <row r="24" spans="2:9" x14ac:dyDescent="0.25">
      <c r="B24" s="20" t="str">
        <f>'County Data'!$B$24</f>
        <v>Jackson</v>
      </c>
      <c r="C24" s="15">
        <f>VLOOKUP($B24,'County Data'!$B$10:$L$46,2,FALSE)</f>
        <v>223240</v>
      </c>
      <c r="D24" s="34">
        <f>VLOOKUP(B24,'County Data'!$B$10:$L$46,4,FALSE)</f>
        <v>7.6263950000000011E-2</v>
      </c>
      <c r="E24" s="31">
        <f t="shared" si="0"/>
        <v>17025.164198000002</v>
      </c>
      <c r="F24" s="6">
        <f t="shared" si="1"/>
        <v>6.1838840767138206E-2</v>
      </c>
      <c r="G24" s="14">
        <f t="shared" si="2"/>
        <v>63281.747051704762</v>
      </c>
      <c r="H24" s="10">
        <f t="shared" si="3"/>
        <v>0.28346957109704696</v>
      </c>
      <c r="I24" s="22"/>
    </row>
    <row r="25" spans="2:9" x14ac:dyDescent="0.25">
      <c r="B25" s="20" t="str">
        <f>'County Data'!$B$16</f>
        <v>Crook</v>
      </c>
      <c r="C25" s="15">
        <f>VLOOKUP($B25,'County Data'!$B$10:$L$46,2,FALSE)</f>
        <v>23440</v>
      </c>
      <c r="D25" s="34">
        <f>VLOOKUP(B25,'County Data'!$B$10:$L$46,4,FALSE)</f>
        <v>8.3662790000000001E-2</v>
      </c>
      <c r="E25" s="31">
        <f t="shared" si="0"/>
        <v>1961.0557976</v>
      </c>
      <c r="F25" s="6">
        <f t="shared" si="1"/>
        <v>7.1229514025776914E-3</v>
      </c>
      <c r="G25" s="14">
        <f t="shared" si="2"/>
        <v>7289.1536019711702</v>
      </c>
      <c r="H25" s="10">
        <f t="shared" si="3"/>
        <v>0.31097071680764377</v>
      </c>
      <c r="I25" s="22"/>
    </row>
    <row r="26" spans="2:9" x14ac:dyDescent="0.25">
      <c r="B26" s="20" t="str">
        <f>'County Data'!$B$14</f>
        <v>Columbia</v>
      </c>
      <c r="C26" s="15">
        <f>VLOOKUP($B26,'County Data'!$B$10:$L$46,2,FALSE)</f>
        <v>53280</v>
      </c>
      <c r="D26" s="34">
        <f>VLOOKUP(B26,'County Data'!$B$10:$L$46,4,FALSE)</f>
        <v>7.1908329999999993E-2</v>
      </c>
      <c r="E26" s="31">
        <f t="shared" si="0"/>
        <v>3831.2758223999995</v>
      </c>
      <c r="F26" s="6">
        <f t="shared" si="1"/>
        <v>1.3915968901152329E-2</v>
      </c>
      <c r="G26" s="14">
        <f t="shared" si="2"/>
        <v>14240.674842179216</v>
      </c>
      <c r="H26" s="10">
        <f t="shared" si="3"/>
        <v>0.26727993322408439</v>
      </c>
      <c r="I26" s="22"/>
    </row>
    <row r="27" spans="2:9" x14ac:dyDescent="0.25">
      <c r="B27" s="20" t="str">
        <f>'County Data'!$B$42</f>
        <v>Wallowa</v>
      </c>
      <c r="C27" s="15">
        <f>VLOOKUP($B27,'County Data'!$B$10:$L$46,2,FALSE)</f>
        <v>7160</v>
      </c>
      <c r="D27" s="34">
        <f>VLOOKUP(B27,'County Data'!$B$10:$L$46,4,FALSE)</f>
        <v>6.8052559999999998E-2</v>
      </c>
      <c r="E27" s="31">
        <f t="shared" si="0"/>
        <v>487.25632959999996</v>
      </c>
      <c r="F27" s="6">
        <f t="shared" si="1"/>
        <v>1.7698135670523654E-3</v>
      </c>
      <c r="G27" s="14">
        <f t="shared" si="2"/>
        <v>1811.1092169502538</v>
      </c>
      <c r="H27" s="10">
        <f t="shared" si="3"/>
        <v>0.25294821465785666</v>
      </c>
      <c r="I27" s="22"/>
    </row>
    <row r="28" spans="2:9" x14ac:dyDescent="0.25">
      <c r="B28" s="20" t="str">
        <f>'County Data'!$B$39</f>
        <v>Tillamook</v>
      </c>
      <c r="C28" s="15">
        <f>VLOOKUP($B28,'County Data'!$B$10:$L$46,2,FALSE)</f>
        <v>26530</v>
      </c>
      <c r="D28" s="34">
        <f>VLOOKUP(B28,'County Data'!$B$10:$L$46,4,FALSE)</f>
        <v>8.2220169999999995E-2</v>
      </c>
      <c r="E28" s="31">
        <f t="shared" si="0"/>
        <v>2181.3011100999997</v>
      </c>
      <c r="F28" s="6">
        <f t="shared" si="1"/>
        <v>7.9229269359118153E-3</v>
      </c>
      <c r="G28" s="14">
        <f t="shared" si="2"/>
        <v>8107.7952310830906</v>
      </c>
      <c r="H28" s="10">
        <f t="shared" si="3"/>
        <v>0.30560856506155637</v>
      </c>
      <c r="I28" s="22"/>
    </row>
    <row r="29" spans="2:9" x14ac:dyDescent="0.25">
      <c r="B29" s="20" t="str">
        <f>'County Data'!$B$28</f>
        <v>Lake</v>
      </c>
      <c r="C29" s="15">
        <f>VLOOKUP($B29,'County Data'!$B$10:$L$46,2,FALSE)</f>
        <v>8075</v>
      </c>
      <c r="D29" s="34">
        <f>VLOOKUP(B29,'County Data'!$B$10:$L$46,4,FALSE)</f>
        <v>9.3079839999999997E-2</v>
      </c>
      <c r="E29" s="31">
        <f t="shared" si="0"/>
        <v>751.61970799999995</v>
      </c>
      <c r="F29" s="6">
        <f t="shared" si="1"/>
        <v>2.730034841362351E-3</v>
      </c>
      <c r="G29" s="14">
        <f t="shared" si="2"/>
        <v>2793.7356543274723</v>
      </c>
      <c r="H29" s="10">
        <f t="shared" si="3"/>
        <v>0.34597345564426901</v>
      </c>
      <c r="I29" s="22"/>
    </row>
    <row r="30" spans="2:9" x14ac:dyDescent="0.25">
      <c r="B30" s="20" t="str">
        <f>'County Data'!$B$36</f>
        <v>Gilliam, Sherman, Wasco</v>
      </c>
      <c r="C30" s="15">
        <f>VLOOKUP($B30,'County Data'!$B$10:$L$46,2,FALSE)</f>
        <v>31080</v>
      </c>
      <c r="D30" s="34">
        <f>VLOOKUP(B30,'County Data'!$B$10:$L$46,4,FALSE)</f>
        <v>8.1669599999999995E-2</v>
      </c>
      <c r="E30" s="31">
        <f t="shared" si="0"/>
        <v>2538.2911679999997</v>
      </c>
      <c r="F30" s="6">
        <f t="shared" si="1"/>
        <v>9.2195870496816941E-3</v>
      </c>
      <c r="G30" s="14">
        <f t="shared" si="2"/>
        <v>9434.7107475075991</v>
      </c>
      <c r="H30" s="10">
        <f t="shared" si="3"/>
        <v>0.30356212186317888</v>
      </c>
      <c r="I30" s="22"/>
    </row>
    <row r="31" spans="2:9" x14ac:dyDescent="0.25">
      <c r="B31" s="20" t="str">
        <f>'County Data'!$B$10</f>
        <v>Baker</v>
      </c>
      <c r="C31" s="15">
        <f>VLOOKUP($B31,'County Data'!$B$10:$L$46,2,FALSE)</f>
        <v>16910</v>
      </c>
      <c r="D31" s="34">
        <f>VLOOKUP(B31,'County Data'!$B$10:$L$46,4,FALSE)</f>
        <v>8.6297479999999996E-2</v>
      </c>
      <c r="E31" s="31">
        <f t="shared" si="0"/>
        <v>1459.2903867999999</v>
      </c>
      <c r="F31" s="6">
        <f t="shared" si="1"/>
        <v>5.3004379172414432E-3</v>
      </c>
      <c r="G31" s="14">
        <f t="shared" si="2"/>
        <v>5424.1148019770762</v>
      </c>
      <c r="H31" s="10">
        <f t="shared" si="3"/>
        <v>0.32076373755038889</v>
      </c>
      <c r="I31" s="22"/>
    </row>
    <row r="32" spans="2:9" x14ac:dyDescent="0.25">
      <c r="B32" s="20" t="str">
        <f>'County Data'!$B$13</f>
        <v>Clatsop</v>
      </c>
      <c r="C32" s="15">
        <f>VLOOKUP($B32,'County Data'!$B$10:$L$46,2,FALSE)</f>
        <v>39455</v>
      </c>
      <c r="D32" s="34">
        <f>VLOOKUP(B32,'County Data'!$B$10:$L$46,4,FALSE)</f>
        <v>8.1797190000000006E-2</v>
      </c>
      <c r="E32" s="31">
        <f t="shared" si="0"/>
        <v>3227.30813145</v>
      </c>
      <c r="F32" s="6">
        <f t="shared" si="1"/>
        <v>1.1722236057533668E-2</v>
      </c>
      <c r="G32" s="14">
        <f t="shared" si="2"/>
        <v>11995.754898876119</v>
      </c>
      <c r="H32" s="10">
        <f t="shared" si="3"/>
        <v>0.30403636798570827</v>
      </c>
      <c r="I32" s="22"/>
    </row>
    <row r="33" spans="2:9" x14ac:dyDescent="0.25">
      <c r="B33" s="20" t="str">
        <f>'County Data'!$B$26</f>
        <v>Josephine</v>
      </c>
      <c r="C33" s="15">
        <f>VLOOKUP($B33,'County Data'!$B$10:$L$46,2,FALSE)</f>
        <v>86560</v>
      </c>
      <c r="D33" s="34">
        <f>VLOOKUP(B33,'County Data'!$B$10:$L$46,4,FALSE)</f>
        <v>9.9210980000000004E-2</v>
      </c>
      <c r="E33" s="31">
        <f t="shared" si="0"/>
        <v>8587.7024288000011</v>
      </c>
      <c r="F33" s="6">
        <f t="shared" si="1"/>
        <v>3.1192272619168852E-2</v>
      </c>
      <c r="G33" s="14">
        <f t="shared" si="2"/>
        <v>31920.092313616122</v>
      </c>
      <c r="H33" s="10">
        <f t="shared" si="3"/>
        <v>0.36876261914990899</v>
      </c>
      <c r="I33" s="22"/>
    </row>
    <row r="34" spans="2:9" x14ac:dyDescent="0.25">
      <c r="B34" s="20" t="str">
        <f>'County Data'!$B$19</f>
        <v>Douglas</v>
      </c>
      <c r="C34" s="15">
        <f>VLOOKUP($B34,'County Data'!$B$10:$L$46,2,FALSE)</f>
        <v>112530</v>
      </c>
      <c r="D34" s="34">
        <f>VLOOKUP(B34,'County Data'!$B$10:$L$46,4,FALSE)</f>
        <v>0.10093575</v>
      </c>
      <c r="E34" s="31">
        <f t="shared" si="0"/>
        <v>11358.2999475</v>
      </c>
      <c r="F34" s="6">
        <f t="shared" si="1"/>
        <v>4.1255643333023354E-2</v>
      </c>
      <c r="G34" s="14">
        <f t="shared" si="2"/>
        <v>42218.275010793892</v>
      </c>
      <c r="H34" s="10">
        <f t="shared" si="3"/>
        <v>0.37517350938233263</v>
      </c>
      <c r="I34" s="22"/>
    </row>
    <row r="35" spans="2:9" x14ac:dyDescent="0.25">
      <c r="B35" s="20" t="str">
        <f>'County Data'!$B$27</f>
        <v>Klamath</v>
      </c>
      <c r="C35" s="15">
        <f>VLOOKUP($B35,'County Data'!$B$10:$L$46,2,FALSE)</f>
        <v>68075</v>
      </c>
      <c r="D35" s="34">
        <f>VLOOKUP(B35,'County Data'!$B$10:$L$46,4,FALSE)</f>
        <v>9.6826550000000011E-2</v>
      </c>
      <c r="E35" s="31">
        <f t="shared" si="0"/>
        <v>6591.4673912500011</v>
      </c>
      <c r="F35" s="6">
        <f t="shared" si="1"/>
        <v>2.3941543099900073E-2</v>
      </c>
      <c r="G35" s="14">
        <f t="shared" si="2"/>
        <v>24500.179105564406</v>
      </c>
      <c r="H35" s="10">
        <f t="shared" si="3"/>
        <v>0.35989980324002063</v>
      </c>
      <c r="I35" s="22"/>
    </row>
    <row r="36" spans="2:9" x14ac:dyDescent="0.25">
      <c r="B36" s="20" t="str">
        <f>'County Data'!$B$15</f>
        <v>Coos</v>
      </c>
      <c r="C36" s="15">
        <f>VLOOKUP($B36,'County Data'!$B$10:$L$46,2,FALSE)</f>
        <v>63315</v>
      </c>
      <c r="D36" s="34">
        <f>VLOOKUP(B36,'County Data'!$B$10:$L$46,4,FALSE)</f>
        <v>9.8415849999999985E-2</v>
      </c>
      <c r="E36" s="31">
        <f t="shared" si="0"/>
        <v>6231.1995427499987</v>
      </c>
      <c r="F36" s="6">
        <f t="shared" si="1"/>
        <v>2.2632977387533653E-2</v>
      </c>
      <c r="G36" s="14">
        <f t="shared" si="2"/>
        <v>23161.080193242771</v>
      </c>
      <c r="H36" s="10">
        <f t="shared" si="3"/>
        <v>0.36580715775476225</v>
      </c>
      <c r="I36" s="22"/>
    </row>
    <row r="37" spans="2:9" x14ac:dyDescent="0.25">
      <c r="B37" s="20" t="str">
        <f>'County Data'!$B$30</f>
        <v>Lincoln</v>
      </c>
      <c r="C37" s="15">
        <f>VLOOKUP($B37,'County Data'!$B$10:$L$46,2,FALSE)</f>
        <v>48305</v>
      </c>
      <c r="D37" s="34">
        <f>VLOOKUP(B37,'County Data'!$B$10:$L$46,4,FALSE)</f>
        <v>9.7818940000000007E-2</v>
      </c>
      <c r="E37" s="31">
        <f t="shared" si="0"/>
        <v>4725.1438967000004</v>
      </c>
      <c r="F37" s="6">
        <f t="shared" si="1"/>
        <v>1.7162678587509399E-2</v>
      </c>
      <c r="G37" s="14">
        <f t="shared" si="2"/>
        <v>17563.141087884618</v>
      </c>
      <c r="H37" s="10">
        <f t="shared" si="3"/>
        <v>0.36358847092194635</v>
      </c>
      <c r="I37" s="22"/>
    </row>
    <row r="38" spans="2:9" x14ac:dyDescent="0.25">
      <c r="B38" s="20" t="str">
        <f>'County Data'!$B$25</f>
        <v>Jefferson</v>
      </c>
      <c r="C38" s="15">
        <f>VLOOKUP($B38,'County Data'!$B$10:$L$46,2,FALSE)</f>
        <v>24105</v>
      </c>
      <c r="D38" s="34">
        <f>VLOOKUP(B38,'County Data'!$B$10:$L$46,4,FALSE)</f>
        <v>8.5968059999999999E-2</v>
      </c>
      <c r="E38" s="31">
        <f t="shared" si="0"/>
        <v>2072.2600862999998</v>
      </c>
      <c r="F38" s="6">
        <f t="shared" si="1"/>
        <v>7.5268678771306941E-3</v>
      </c>
      <c r="G38" s="14">
        <f t="shared" si="2"/>
        <v>7702.4947942637427</v>
      </c>
      <c r="H38" s="10">
        <f t="shared" si="3"/>
        <v>0.31953929866267344</v>
      </c>
      <c r="I38" s="22"/>
    </row>
    <row r="39" spans="2:9" x14ac:dyDescent="0.25">
      <c r="B39" s="20" t="str">
        <f>'County Data'!$B$22</f>
        <v>Harney</v>
      </c>
      <c r="C39" s="15">
        <f>VLOOKUP($B39,'County Data'!$B$10:$L$46,2,FALSE)</f>
        <v>7280</v>
      </c>
      <c r="D39" s="34">
        <f>VLOOKUP(B39,'County Data'!$B$10:$L$46,4,FALSE)</f>
        <v>9.5802139999999994E-2</v>
      </c>
      <c r="E39" s="31">
        <f t="shared" si="0"/>
        <v>697.43957919999991</v>
      </c>
      <c r="F39" s="6">
        <f t="shared" si="1"/>
        <v>2.5332416522546755E-3</v>
      </c>
      <c r="G39" s="14">
        <f t="shared" si="2"/>
        <v>2592.3506241406176</v>
      </c>
      <c r="H39" s="10">
        <f t="shared" si="3"/>
        <v>0.35609211870063429</v>
      </c>
      <c r="I39" s="22"/>
    </row>
    <row r="40" spans="2:9" x14ac:dyDescent="0.25">
      <c r="B40" s="20" t="str">
        <f>'County Data'!$B$17</f>
        <v>Curry</v>
      </c>
      <c r="C40" s="15">
        <f>VLOOKUP($B40,'County Data'!$B$10:$L$46,2,FALSE)</f>
        <v>23005</v>
      </c>
      <c r="D40" s="34">
        <f>VLOOKUP(B40,'County Data'!$B$10:$L$46,4,FALSE)</f>
        <v>9.8974709999999994E-2</v>
      </c>
      <c r="E40" s="31">
        <f t="shared" si="0"/>
        <v>2276.9132035499997</v>
      </c>
      <c r="F40" s="6">
        <f t="shared" si="1"/>
        <v>8.270209402824049E-3</v>
      </c>
      <c r="G40" s="14">
        <f t="shared" si="2"/>
        <v>8463.1809555566088</v>
      </c>
      <c r="H40" s="10">
        <f t="shared" si="3"/>
        <v>0.36788441449930925</v>
      </c>
      <c r="I40" s="22"/>
    </row>
    <row r="41" spans="2:9" x14ac:dyDescent="0.25">
      <c r="B41" s="4" t="s">
        <v>2</v>
      </c>
      <c r="C41" s="5">
        <f>SUM(C6:C40)</f>
        <v>4268055</v>
      </c>
      <c r="D41" s="5">
        <f>SUM(D6:D40)</f>
        <v>2.5689659599999994</v>
      </c>
      <c r="E41" s="5">
        <f>SUM(E6:E40)</f>
        <v>275315.06067700009</v>
      </c>
      <c r="F41" s="8">
        <f>SUM(F6:F40)</f>
        <v>0.99999999999999978</v>
      </c>
      <c r="G41" s="11">
        <f>SUM(G6:G40)</f>
        <v>1023333.3333333329</v>
      </c>
      <c r="H41" s="12">
        <f t="shared" ref="H41" si="4">G41/C41</f>
        <v>0.23976573247845515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 x14ac:dyDescent="0.25">
      <c r="B3" t="s">
        <v>0</v>
      </c>
      <c r="C3" s="1">
        <f>'County Data'!C5</f>
        <v>8000000</v>
      </c>
    </row>
    <row r="4" spans="2:12" x14ac:dyDescent="0.25">
      <c r="B4" t="s">
        <v>41</v>
      </c>
      <c r="C4" s="14">
        <f>'County Data'!F9</f>
        <v>1023333.3333333333</v>
      </c>
      <c r="D4" s="9"/>
    </row>
    <row r="6" spans="2:12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25">
      <c r="B7" s="20" t="str">
        <f>+'County Data'!$B$18</f>
        <v>Deschutes</v>
      </c>
      <c r="C7" s="15">
        <f>VLOOKUP($B7,'County Data'!$B$10:$L$46,2,FALSE)</f>
        <v>197015</v>
      </c>
      <c r="D7" s="29">
        <f>VLOOKUP($B7,'County Data'!$B$10:$L$46,5,FALSE)</f>
        <v>0.13699999999999998</v>
      </c>
      <c r="E7" s="31">
        <f t="shared" ref="E7:E40" si="0">C7*D7</f>
        <v>26991.054999999997</v>
      </c>
      <c r="F7" s="6">
        <f t="shared" ref="F7:F40" si="1">E7/$E$41</f>
        <v>3.7592227668518177E-2</v>
      </c>
      <c r="G7" s="14">
        <f t="shared" ref="G7:G40" si="2">$C$4*F7</f>
        <v>38469.379647450267</v>
      </c>
      <c r="H7" s="10">
        <f t="shared" ref="H7:H40" si="3">G7/C7</f>
        <v>0.19526117121767514</v>
      </c>
      <c r="J7" s="183"/>
      <c r="K7" s="183"/>
      <c r="L7" s="22"/>
    </row>
    <row r="8" spans="2:12" x14ac:dyDescent="0.25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Data'!$B$10:$L$46,5,FALSE)</f>
        <v>0.14899999999999999</v>
      </c>
      <c r="E8" s="31">
        <f t="shared" si="0"/>
        <v>1066.8399999999999</v>
      </c>
      <c r="F8" s="6">
        <f t="shared" si="1"/>
        <v>1.4858586359770647E-3</v>
      </c>
      <c r="G8" s="14">
        <f t="shared" si="2"/>
        <v>1520.5286708165295</v>
      </c>
      <c r="H8" s="10">
        <f t="shared" si="3"/>
        <v>0.2123643394995153</v>
      </c>
      <c r="J8" s="183"/>
      <c r="K8" s="183"/>
      <c r="L8" s="22"/>
    </row>
    <row r="9" spans="2:12" x14ac:dyDescent="0.25">
      <c r="B9" s="20" t="str">
        <f>+'County Data'!$B$28</f>
        <v>Lake</v>
      </c>
      <c r="C9" s="15">
        <f>VLOOKUP($B9,'County Data'!$B$10:$L$46,2,FALSE)</f>
        <v>8075</v>
      </c>
      <c r="D9" s="29">
        <f>VLOOKUP($B9,'County Data'!$B$10:$L$46,5,FALSE)</f>
        <v>0.17899999999999999</v>
      </c>
      <c r="E9" s="31">
        <f t="shared" si="0"/>
        <v>1445.425</v>
      </c>
      <c r="F9" s="6">
        <f t="shared" si="1"/>
        <v>2.0131390076367113E-3</v>
      </c>
      <c r="G9" s="14">
        <f t="shared" si="2"/>
        <v>2060.1122511482345</v>
      </c>
      <c r="H9" s="10">
        <f t="shared" si="3"/>
        <v>0.25512226020411571</v>
      </c>
      <c r="J9" s="183"/>
      <c r="K9" s="183"/>
      <c r="L9" s="22"/>
    </row>
    <row r="10" spans="2:12" x14ac:dyDescent="0.25">
      <c r="B10" s="20" t="str">
        <f>+'County Data'!$B$44</f>
        <v>Washington</v>
      </c>
      <c r="C10" s="15">
        <f>VLOOKUP($B10,'County Data'!$B$10:$L$46,2,FALSE)</f>
        <v>620080</v>
      </c>
      <c r="D10" s="29">
        <f>VLOOKUP($B10,'County Data'!$B$10:$L$46,5,FALSE)</f>
        <v>0.151</v>
      </c>
      <c r="E10" s="31">
        <f t="shared" si="0"/>
        <v>93632.08</v>
      </c>
      <c r="F10" s="6">
        <f t="shared" si="1"/>
        <v>0.13040759127188278</v>
      </c>
      <c r="G10" s="14">
        <f t="shared" si="2"/>
        <v>133450.43506822671</v>
      </c>
      <c r="H10" s="10">
        <f t="shared" si="3"/>
        <v>0.21521486754648869</v>
      </c>
      <c r="J10" s="183"/>
      <c r="K10" s="183"/>
      <c r="L10" s="22"/>
    </row>
    <row r="11" spans="2:12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Data'!$B$10:$L$46,5,FALSE)</f>
        <v>0.18899999999999997</v>
      </c>
      <c r="E11" s="31">
        <f t="shared" si="0"/>
        <v>3195.9899999999993</v>
      </c>
      <c r="F11" s="6">
        <f t="shared" si="1"/>
        <v>4.4512666772865087E-3</v>
      </c>
      <c r="G11" s="14">
        <f t="shared" si="2"/>
        <v>4555.1295664231939</v>
      </c>
      <c r="H11" s="10">
        <f t="shared" si="3"/>
        <v>0.26937490043898249</v>
      </c>
      <c r="J11" s="183"/>
      <c r="K11" s="183"/>
      <c r="L11" s="22"/>
    </row>
    <row r="12" spans="2:12" x14ac:dyDescent="0.25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Data'!$B$10:$L$46,5,FALSE)</f>
        <v>0.113</v>
      </c>
      <c r="E12" s="31">
        <f t="shared" si="0"/>
        <v>10697.145</v>
      </c>
      <c r="F12" s="6">
        <f t="shared" si="1"/>
        <v>1.4898621422658393E-2</v>
      </c>
      <c r="G12" s="14">
        <f t="shared" si="2"/>
        <v>15246.255922520422</v>
      </c>
      <c r="H12" s="10">
        <f t="shared" si="3"/>
        <v>0.16105483465399484</v>
      </c>
      <c r="J12" s="183"/>
      <c r="K12" s="183"/>
      <c r="L12" s="22"/>
    </row>
    <row r="13" spans="2:12" x14ac:dyDescent="0.25">
      <c r="B13" s="20" t="str">
        <f>+'County Data'!$B$41</f>
        <v>Union</v>
      </c>
      <c r="C13" s="15">
        <f>VLOOKUP($B13,'County Data'!$B$10:$L$46,2,FALSE)</f>
        <v>26840</v>
      </c>
      <c r="D13" s="29">
        <f>VLOOKUP($B13,'County Data'!$B$10:$L$46,5,FALSE)</f>
        <v>0.106</v>
      </c>
      <c r="E13" s="31">
        <f t="shared" si="0"/>
        <v>2845.04</v>
      </c>
      <c r="F13" s="6">
        <f t="shared" si="1"/>
        <v>3.9624753980917367E-3</v>
      </c>
      <c r="G13" s="14">
        <f t="shared" si="2"/>
        <v>4054.9331573805434</v>
      </c>
      <c r="H13" s="10">
        <f t="shared" si="3"/>
        <v>0.15107798648958806</v>
      </c>
      <c r="J13" s="183"/>
      <c r="K13" s="183"/>
      <c r="L13" s="22"/>
    </row>
    <row r="14" spans="2:12" x14ac:dyDescent="0.25">
      <c r="B14" s="20" t="str">
        <f>+'County Data'!$B$37</f>
        <v>Polk</v>
      </c>
      <c r="C14" s="15">
        <f>VLOOKUP($B14,'County Data'!$B$10:$L$46,2,FALSE)</f>
        <v>83805</v>
      </c>
      <c r="D14" s="29">
        <f>VLOOKUP($B14,'County Data'!$B$10:$L$46,5,FALSE)</f>
        <v>0.183</v>
      </c>
      <c r="E14" s="31">
        <f t="shared" si="0"/>
        <v>15336.315000000001</v>
      </c>
      <c r="F14" s="6">
        <f t="shared" si="1"/>
        <v>2.1359900347582207E-2</v>
      </c>
      <c r="G14" s="14">
        <f t="shared" si="2"/>
        <v>21858.298022359122</v>
      </c>
      <c r="H14" s="10">
        <f t="shared" si="3"/>
        <v>0.26082331629806244</v>
      </c>
      <c r="J14" s="183"/>
      <c r="K14" s="183"/>
      <c r="L14" s="22"/>
    </row>
    <row r="15" spans="2:12" x14ac:dyDescent="0.25">
      <c r="B15" s="20" t="str">
        <f>+'County Data'!$B$12</f>
        <v>Clackamas</v>
      </c>
      <c r="C15" s="15">
        <f>VLOOKUP($B15,'County Data'!$B$10:$L$46,2,FALSE)</f>
        <v>426515</v>
      </c>
      <c r="D15" s="29">
        <f>VLOOKUP($B15,'County Data'!$B$10:$L$46,5,FALSE)</f>
        <v>0.14499999999999999</v>
      </c>
      <c r="E15" s="31">
        <f t="shared" si="0"/>
        <v>61844.674999999996</v>
      </c>
      <c r="F15" s="6">
        <f t="shared" si="1"/>
        <v>8.613516969549781E-2</v>
      </c>
      <c r="G15" s="14">
        <f t="shared" si="2"/>
        <v>88144.990321726087</v>
      </c>
      <c r="H15" s="10">
        <f t="shared" si="3"/>
        <v>0.20666328340556858</v>
      </c>
      <c r="J15" s="183"/>
      <c r="K15" s="183"/>
      <c r="L15" s="22"/>
    </row>
    <row r="16" spans="2:12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Data'!$B$10:$L$46,5,FALSE)</f>
        <v>0.15</v>
      </c>
      <c r="E16" s="31">
        <f t="shared" si="0"/>
        <v>5918.25</v>
      </c>
      <c r="F16" s="6">
        <f t="shared" si="1"/>
        <v>8.2427382478827797E-3</v>
      </c>
      <c r="G16" s="14">
        <f t="shared" si="2"/>
        <v>8435.0688070000433</v>
      </c>
      <c r="H16" s="10">
        <f t="shared" si="3"/>
        <v>0.213789603523002</v>
      </c>
      <c r="J16" s="183"/>
      <c r="K16" s="183"/>
      <c r="L16" s="22"/>
    </row>
    <row r="17" spans="2:12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Data'!$B$10:$L$46,5,FALSE)</f>
        <v>0.13800000000000001</v>
      </c>
      <c r="E17" s="31">
        <f t="shared" si="0"/>
        <v>4289.04</v>
      </c>
      <c r="F17" s="6">
        <f t="shared" si="1"/>
        <v>5.9736297139693587E-3</v>
      </c>
      <c r="G17" s="14">
        <f t="shared" si="2"/>
        <v>6113.0144072953099</v>
      </c>
      <c r="H17" s="10">
        <f t="shared" si="3"/>
        <v>0.19668643524116183</v>
      </c>
      <c r="J17" s="183"/>
      <c r="K17" s="183"/>
      <c r="L17" s="22"/>
    </row>
    <row r="18" spans="2:12" x14ac:dyDescent="0.25">
      <c r="B18" s="20" t="str">
        <f>+'County Data'!$B$29</f>
        <v>Lane</v>
      </c>
      <c r="C18" s="15">
        <f>VLOOKUP($B18,'County Data'!$B$10:$L$46,2,FALSE)</f>
        <v>381365</v>
      </c>
      <c r="D18" s="29">
        <f>VLOOKUP($B18,'County Data'!$B$10:$L$46,5,FALSE)</f>
        <v>0.16600000000000001</v>
      </c>
      <c r="E18" s="31">
        <f t="shared" si="0"/>
        <v>63306.590000000004</v>
      </c>
      <c r="F18" s="6">
        <f t="shared" si="1"/>
        <v>8.8171275416894096E-2</v>
      </c>
      <c r="G18" s="14">
        <f t="shared" si="2"/>
        <v>90228.605176621611</v>
      </c>
      <c r="H18" s="10">
        <f t="shared" si="3"/>
        <v>0.23659382789878886</v>
      </c>
      <c r="J18" s="183"/>
      <c r="K18" s="183"/>
      <c r="L18" s="22"/>
    </row>
    <row r="19" spans="2:12" x14ac:dyDescent="0.25">
      <c r="B19" s="20" t="str">
        <f>+'County Data'!$B$35</f>
        <v>Multnomah</v>
      </c>
      <c r="C19" s="15">
        <f>VLOOKUP($B19,'County Data'!$B$10:$L$46,2,FALSE)</f>
        <v>829560</v>
      </c>
      <c r="D19" s="29">
        <f>VLOOKUP($B19,'County Data'!$B$10:$L$46,5,FALSE)</f>
        <v>0.161</v>
      </c>
      <c r="E19" s="31">
        <f t="shared" si="0"/>
        <v>133559.16</v>
      </c>
      <c r="F19" s="6">
        <f t="shared" si="1"/>
        <v>0.18601667663364943</v>
      </c>
      <c r="G19" s="14">
        <f t="shared" si="2"/>
        <v>190357.06575510124</v>
      </c>
      <c r="H19" s="10">
        <f t="shared" si="3"/>
        <v>0.22946750778135547</v>
      </c>
      <c r="J19" s="183"/>
      <c r="K19" s="183"/>
      <c r="L19" s="22"/>
    </row>
    <row r="20" spans="2:12" x14ac:dyDescent="0.25">
      <c r="B20" s="20" t="str">
        <f>+'County Data'!$B$21</f>
        <v>Grant</v>
      </c>
      <c r="C20" s="15">
        <f>VLOOKUP($B20,'County Data'!$B$10:$L$46,2,FALSE)</f>
        <v>7315</v>
      </c>
      <c r="D20" s="29">
        <f>VLOOKUP($B20,'County Data'!$B$10:$L$46,5,FALSE)</f>
        <v>0.155</v>
      </c>
      <c r="E20" s="31">
        <f t="shared" si="0"/>
        <v>1133.825</v>
      </c>
      <c r="F20" s="6">
        <f t="shared" si="1"/>
        <v>1.5791530763157508E-3</v>
      </c>
      <c r="G20" s="14">
        <f t="shared" si="2"/>
        <v>1615.9999814297848</v>
      </c>
      <c r="H20" s="10">
        <f t="shared" si="3"/>
        <v>0.22091592364043539</v>
      </c>
      <c r="J20" s="183"/>
      <c r="K20" s="183"/>
      <c r="L20" s="22"/>
    </row>
    <row r="21" spans="2:12" x14ac:dyDescent="0.25">
      <c r="B21" s="20" t="str">
        <f>+'County Data'!$B$24</f>
        <v>Jackson</v>
      </c>
      <c r="C21" s="15">
        <f>VLOOKUP($B21,'County Data'!$B$10:$L$46,2,FALSE)</f>
        <v>223240</v>
      </c>
      <c r="D21" s="29">
        <f>VLOOKUP($B21,'County Data'!$B$10:$L$46,5,FALSE)</f>
        <v>0.184</v>
      </c>
      <c r="E21" s="31">
        <f t="shared" si="0"/>
        <v>41076.159999999996</v>
      </c>
      <c r="F21" s="6">
        <f t="shared" si="1"/>
        <v>5.7209485085650769E-2</v>
      </c>
      <c r="G21" s="14">
        <f t="shared" si="2"/>
        <v>58544.373070982612</v>
      </c>
      <c r="H21" s="10">
        <f t="shared" si="3"/>
        <v>0.26224858032154907</v>
      </c>
      <c r="J21" s="183"/>
      <c r="K21" s="183"/>
      <c r="L21" s="22"/>
    </row>
    <row r="22" spans="2:12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Data'!$B$10:$L$46,5,FALSE)</f>
        <v>0.18100000000000002</v>
      </c>
      <c r="E22" s="31">
        <f t="shared" si="0"/>
        <v>23044.920000000002</v>
      </c>
      <c r="F22" s="6">
        <f t="shared" si="1"/>
        <v>3.2096184430093155E-2</v>
      </c>
      <c r="G22" s="14">
        <f t="shared" si="2"/>
        <v>32845.095400128659</v>
      </c>
      <c r="H22" s="10">
        <f t="shared" si="3"/>
        <v>0.25797278825108905</v>
      </c>
      <c r="J22" s="183"/>
      <c r="K22" s="183"/>
      <c r="L22" s="22"/>
    </row>
    <row r="23" spans="2:12" x14ac:dyDescent="0.25">
      <c r="B23" s="20" t="str">
        <f>+'County Data'!$B$25</f>
        <v>Jefferson</v>
      </c>
      <c r="C23" s="15">
        <f>VLOOKUP($B23,'County Data'!$B$10:$L$46,2,FALSE)</f>
        <v>24105</v>
      </c>
      <c r="D23" s="29">
        <f>VLOOKUP($B23,'County Data'!$B$10:$L$46,5,FALSE)</f>
        <v>0.13699999999999998</v>
      </c>
      <c r="E23" s="31">
        <f t="shared" si="0"/>
        <v>3302.3849999999998</v>
      </c>
      <c r="F23" s="6">
        <f t="shared" si="1"/>
        <v>4.5994500314678107E-3</v>
      </c>
      <c r="G23" s="14">
        <f t="shared" si="2"/>
        <v>4706.7705322020593</v>
      </c>
      <c r="H23" s="10">
        <f t="shared" si="3"/>
        <v>0.19526117121767514</v>
      </c>
      <c r="J23" s="183"/>
      <c r="K23" s="183"/>
      <c r="L23" s="22"/>
    </row>
    <row r="24" spans="2:12" x14ac:dyDescent="0.25">
      <c r="B24" s="20" t="str">
        <f>+'County Data'!$B$46</f>
        <v>Yamhill</v>
      </c>
      <c r="C24" s="15">
        <f>VLOOKUP($B24,'County Data'!$B$10:$L$46,2,FALSE)</f>
        <v>108605</v>
      </c>
      <c r="D24" s="29">
        <f>VLOOKUP($B24,'County Data'!$B$10:$L$46,5,FALSE)</f>
        <v>0.184</v>
      </c>
      <c r="E24" s="31">
        <f t="shared" si="0"/>
        <v>19983.32</v>
      </c>
      <c r="F24" s="6">
        <f t="shared" si="1"/>
        <v>2.7832091595265642E-2</v>
      </c>
      <c r="G24" s="14">
        <f t="shared" si="2"/>
        <v>28481.507065821839</v>
      </c>
      <c r="H24" s="10">
        <f t="shared" si="3"/>
        <v>0.26224858032154907</v>
      </c>
      <c r="J24" s="183"/>
      <c r="K24" s="183"/>
      <c r="L24" s="22"/>
    </row>
    <row r="25" spans="2:12" x14ac:dyDescent="0.25">
      <c r="B25" s="20" t="str">
        <f>+'County Data'!$B$26</f>
        <v>Josephine</v>
      </c>
      <c r="C25" s="15">
        <f>VLOOKUP($B25,'County Data'!$B$10:$L$46,2,FALSE)</f>
        <v>86560</v>
      </c>
      <c r="D25" s="29">
        <f>VLOOKUP($B25,'County Data'!$B$10:$L$46,5,FALSE)</f>
        <v>0.218</v>
      </c>
      <c r="E25" s="31">
        <f t="shared" si="0"/>
        <v>18870.080000000002</v>
      </c>
      <c r="F25" s="6">
        <f t="shared" si="1"/>
        <v>2.6281608610080325E-2</v>
      </c>
      <c r="G25" s="14">
        <f t="shared" si="2"/>
        <v>26894.846144315528</v>
      </c>
      <c r="H25" s="10">
        <f t="shared" si="3"/>
        <v>0.31070755712009623</v>
      </c>
      <c r="J25" s="183"/>
      <c r="K25" s="183"/>
      <c r="L25" s="22"/>
    </row>
    <row r="26" spans="2:12" x14ac:dyDescent="0.25">
      <c r="B26" s="20" t="str">
        <f>+'County Data'!$B$14</f>
        <v>Columbia</v>
      </c>
      <c r="C26" s="15">
        <f>VLOOKUP($B26,'County Data'!$B$10:$L$46,2,FALSE)</f>
        <v>53280</v>
      </c>
      <c r="D26" s="29">
        <f>VLOOKUP($B26,'County Data'!$B$10:$L$46,5,FALSE)</f>
        <v>0.20499999999999999</v>
      </c>
      <c r="E26" s="31">
        <f t="shared" si="0"/>
        <v>10922.4</v>
      </c>
      <c r="F26" s="6">
        <f t="shared" si="1"/>
        <v>1.5212348961039981E-2</v>
      </c>
      <c r="G26" s="14">
        <f t="shared" si="2"/>
        <v>15567.303770130913</v>
      </c>
      <c r="H26" s="10">
        <f t="shared" si="3"/>
        <v>0.29217912481476938</v>
      </c>
      <c r="J26" s="183"/>
      <c r="K26" s="183"/>
      <c r="L26" s="22"/>
    </row>
    <row r="27" spans="2:12" x14ac:dyDescent="0.25">
      <c r="B27" s="20" t="str">
        <f>+'County Data'!$B$39</f>
        <v>Tillamook</v>
      </c>
      <c r="C27" s="15">
        <f>VLOOKUP($B27,'County Data'!$B$10:$L$46,2,FALSE)</f>
        <v>26530</v>
      </c>
      <c r="D27" s="29">
        <f>VLOOKUP($B27,'County Data'!$B$10:$L$46,5,FALSE)</f>
        <v>0.16899999999999998</v>
      </c>
      <c r="E27" s="31">
        <f t="shared" si="0"/>
        <v>4483.57</v>
      </c>
      <c r="F27" s="6">
        <f t="shared" si="1"/>
        <v>6.2445645124926778E-3</v>
      </c>
      <c r="G27" s="14">
        <f t="shared" si="2"/>
        <v>6390.2710177841727</v>
      </c>
      <c r="H27" s="10">
        <f t="shared" si="3"/>
        <v>0.24086961996924888</v>
      </c>
      <c r="J27" s="183"/>
      <c r="K27" s="183"/>
      <c r="L27" s="22"/>
    </row>
    <row r="28" spans="2:12" x14ac:dyDescent="0.25">
      <c r="B28" s="20" t="str">
        <f>+'County Data'!$B$33</f>
        <v>Marion</v>
      </c>
      <c r="C28" s="15">
        <f>VLOOKUP($B28,'County Data'!$B$10:$L$46,2,FALSE)</f>
        <v>349120</v>
      </c>
      <c r="D28" s="29">
        <f>VLOOKUP($B28,'County Data'!$B$10:$L$46,5,FALSE)</f>
        <v>0.192</v>
      </c>
      <c r="E28" s="31">
        <f t="shared" si="0"/>
        <v>67031.040000000008</v>
      </c>
      <c r="F28" s="6">
        <f t="shared" si="1"/>
        <v>9.3358563292081365E-2</v>
      </c>
      <c r="G28" s="14">
        <f t="shared" si="2"/>
        <v>95536.929768896589</v>
      </c>
      <c r="H28" s="10">
        <f t="shared" si="3"/>
        <v>0.27365069250944257</v>
      </c>
      <c r="J28" s="183"/>
      <c r="K28" s="183"/>
      <c r="L28" s="22"/>
    </row>
    <row r="29" spans="2:12" x14ac:dyDescent="0.25">
      <c r="B29" s="20" t="str">
        <f>+'County Data'!$B$23</f>
        <v>Hood River</v>
      </c>
      <c r="C29" s="15">
        <f>VLOOKUP($B29,'County Data'!$B$10:$L$46,2,FALSE)</f>
        <v>25640</v>
      </c>
      <c r="D29" s="29">
        <f>VLOOKUP($B29,'County Data'!$B$10:$L$46,5,FALSE)</f>
        <v>0.16399999999999998</v>
      </c>
      <c r="E29" s="31">
        <f t="shared" si="0"/>
        <v>4204.9599999999991</v>
      </c>
      <c r="F29" s="6">
        <f t="shared" si="1"/>
        <v>5.8565259363523277E-3</v>
      </c>
      <c r="G29" s="14">
        <f t="shared" si="2"/>
        <v>5993.1782082005484</v>
      </c>
      <c r="H29" s="10">
        <f t="shared" si="3"/>
        <v>0.23374329985181547</v>
      </c>
      <c r="J29" s="183"/>
      <c r="K29" s="183"/>
      <c r="L29" s="22"/>
    </row>
    <row r="30" spans="2:12" x14ac:dyDescent="0.25">
      <c r="B30" s="20" t="str">
        <f>+'County Data'!$B$30</f>
        <v>Lincoln</v>
      </c>
      <c r="C30" s="15">
        <f>VLOOKUP($B30,'County Data'!$B$10:$L$46,2,FALSE)</f>
        <v>48305</v>
      </c>
      <c r="D30" s="29">
        <f>VLOOKUP($B30,'County Data'!$B$10:$L$46,5,FALSE)</f>
        <v>0.21299999999999999</v>
      </c>
      <c r="E30" s="31">
        <f t="shared" si="0"/>
        <v>10288.965</v>
      </c>
      <c r="F30" s="6">
        <f t="shared" si="1"/>
        <v>1.4330122136886283E-2</v>
      </c>
      <c r="G30" s="14">
        <f t="shared" si="2"/>
        <v>14664.491653413628</v>
      </c>
      <c r="H30" s="10">
        <f t="shared" si="3"/>
        <v>0.30358123700266282</v>
      </c>
      <c r="J30" s="183"/>
      <c r="K30" s="183"/>
      <c r="L30" s="22"/>
    </row>
    <row r="31" spans="2:12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Data'!$B$10:$L$46,5,FALSE)</f>
        <v>0.17399999999999999</v>
      </c>
      <c r="E31" s="31">
        <f t="shared" si="0"/>
        <v>11845.05</v>
      </c>
      <c r="F31" s="6">
        <f t="shared" si="1"/>
        <v>1.6497384646320095E-2</v>
      </c>
      <c r="G31" s="14">
        <f t="shared" si="2"/>
        <v>16882.323621400898</v>
      </c>
      <c r="H31" s="10">
        <f t="shared" si="3"/>
        <v>0.2479959400866823</v>
      </c>
      <c r="J31" s="183"/>
      <c r="K31" s="183"/>
      <c r="L31" s="22"/>
    </row>
    <row r="32" spans="2:12" x14ac:dyDescent="0.25">
      <c r="B32" s="20" t="str">
        <f>+'County Data'!$B$15</f>
        <v>Coos</v>
      </c>
      <c r="C32" s="15">
        <f>VLOOKUP($B32,'County Data'!$B$10:$L$46,2,FALSE)</f>
        <v>63315</v>
      </c>
      <c r="D32" s="29">
        <f>VLOOKUP($B32,'County Data'!$B$10:$L$46,5,FALSE)</f>
        <v>0.214</v>
      </c>
      <c r="E32" s="31">
        <f t="shared" si="0"/>
        <v>13549.41</v>
      </c>
      <c r="F32" s="6">
        <f t="shared" si="1"/>
        <v>1.8871159556160252E-2</v>
      </c>
      <c r="G32" s="14">
        <f t="shared" si="2"/>
        <v>19311.486612470657</v>
      </c>
      <c r="H32" s="10">
        <f t="shared" si="3"/>
        <v>0.30500650102614951</v>
      </c>
      <c r="J32" s="183"/>
      <c r="K32" s="183"/>
      <c r="L32" s="22"/>
    </row>
    <row r="33" spans="2:12" x14ac:dyDescent="0.25">
      <c r="B33" s="20" t="str">
        <f>+'County Data'!$B$40</f>
        <v>Umatilla</v>
      </c>
      <c r="C33" s="15">
        <f>VLOOKUP($B33,'County Data'!$B$10:$L$46,2,FALSE)</f>
        <v>81495</v>
      </c>
      <c r="D33" s="29">
        <f>VLOOKUP($B33,'County Data'!$B$10:$L$46,5,FALSE)</f>
        <v>0.184</v>
      </c>
      <c r="E33" s="31">
        <f t="shared" si="0"/>
        <v>14995.08</v>
      </c>
      <c r="F33" s="6">
        <f t="shared" si="1"/>
        <v>2.0884639791502912E-2</v>
      </c>
      <c r="G33" s="14">
        <f t="shared" si="2"/>
        <v>21371.948053304644</v>
      </c>
      <c r="H33" s="10">
        <f t="shared" si="3"/>
        <v>0.26224858032154913</v>
      </c>
      <c r="J33" s="183"/>
      <c r="K33" s="183"/>
      <c r="L33" s="22"/>
    </row>
    <row r="34" spans="2:12" x14ac:dyDescent="0.25">
      <c r="B34" s="20" t="str">
        <f>+'County Data'!$B$19</f>
        <v>Douglas</v>
      </c>
      <c r="C34" s="15">
        <f>VLOOKUP($B34,'County Data'!$B$10:$L$46,2,FALSE)</f>
        <v>112530</v>
      </c>
      <c r="D34" s="29">
        <f>VLOOKUP($B34,'County Data'!$B$10:$L$46,5,FALSE)</f>
        <v>0.222</v>
      </c>
      <c r="E34" s="31">
        <f t="shared" si="0"/>
        <v>24981.66</v>
      </c>
      <c r="F34" s="6">
        <f t="shared" si="1"/>
        <v>3.4793610337110349E-2</v>
      </c>
      <c r="G34" s="14">
        <f t="shared" si="2"/>
        <v>35605.461244976257</v>
      </c>
      <c r="H34" s="10">
        <f t="shared" si="3"/>
        <v>0.31640861321404301</v>
      </c>
      <c r="J34" s="183"/>
      <c r="K34" s="183"/>
      <c r="L34" s="22"/>
    </row>
    <row r="35" spans="2:12" x14ac:dyDescent="0.25">
      <c r="B35" s="20" t="str">
        <f>+'County Data'!$B$17</f>
        <v>Curry</v>
      </c>
      <c r="C35" s="15">
        <f>VLOOKUP($B35,'County Data'!$B$10:$L$46,2,FALSE)</f>
        <v>23005</v>
      </c>
      <c r="D35" s="29">
        <f>VLOOKUP($B35,'County Data'!$B$10:$L$46,5,FALSE)</f>
        <v>0.20399999999999999</v>
      </c>
      <c r="E35" s="31">
        <f t="shared" si="0"/>
        <v>4693.0199999999995</v>
      </c>
      <c r="F35" s="6">
        <f t="shared" si="1"/>
        <v>6.536279381925204E-3</v>
      </c>
      <c r="G35" s="14">
        <f t="shared" si="2"/>
        <v>6688.7925675034585</v>
      </c>
      <c r="H35" s="10">
        <f t="shared" si="3"/>
        <v>0.29075386079128268</v>
      </c>
      <c r="J35" s="183"/>
      <c r="K35" s="183"/>
      <c r="L35" s="22"/>
    </row>
    <row r="36" spans="2:12" x14ac:dyDescent="0.25">
      <c r="B36" s="20" t="str">
        <f>+'County Data'!$B$16</f>
        <v>Crook</v>
      </c>
      <c r="C36" s="15">
        <f>VLOOKUP($B36,'County Data'!$B$10:$L$46,2,FALSE)</f>
        <v>23440</v>
      </c>
      <c r="D36" s="29">
        <f>VLOOKUP($B36,'County Data'!$B$10:$L$46,5,FALSE)</f>
        <v>0.23</v>
      </c>
      <c r="E36" s="31">
        <f t="shared" si="0"/>
        <v>5391.2</v>
      </c>
      <c r="F36" s="6">
        <f t="shared" si="1"/>
        <v>7.508680850248914E-3</v>
      </c>
      <c r="G36" s="14">
        <f t="shared" si="2"/>
        <v>7683.8834034213878</v>
      </c>
      <c r="H36" s="10">
        <f t="shared" si="3"/>
        <v>0.32781072540193634</v>
      </c>
      <c r="J36" s="183"/>
      <c r="K36" s="183"/>
      <c r="L36" s="22"/>
    </row>
    <row r="37" spans="2:12" x14ac:dyDescent="0.25">
      <c r="B37" s="20" t="str">
        <f>+'County Data'!$B$34</f>
        <v>Morrow</v>
      </c>
      <c r="C37" s="15">
        <f>VLOOKUP($B37,'County Data'!$B$10:$L$46,2,FALSE)</f>
        <v>12825</v>
      </c>
      <c r="D37" s="29">
        <f>VLOOKUP($B37,'County Data'!$B$10:$L$46,5,FALSE)</f>
        <v>0.312</v>
      </c>
      <c r="E37" s="31">
        <f t="shared" si="0"/>
        <v>4001.4</v>
      </c>
      <c r="F37" s="6">
        <f t="shared" si="1"/>
        <v>5.5730144595240406E-3</v>
      </c>
      <c r="G37" s="14">
        <f t="shared" si="2"/>
        <v>5703.0514635796007</v>
      </c>
      <c r="H37" s="10">
        <f t="shared" si="3"/>
        <v>0.4446823753278441</v>
      </c>
      <c r="J37" s="183"/>
      <c r="K37" s="183"/>
      <c r="L37" s="22"/>
    </row>
    <row r="38" spans="2:12" x14ac:dyDescent="0.25">
      <c r="B38" s="20" t="str">
        <f>+'County Data'!$B$22</f>
        <v>Harney</v>
      </c>
      <c r="C38" s="15">
        <f>VLOOKUP($B38,'County Data'!$B$10:$L$46,2,FALSE)</f>
        <v>7280</v>
      </c>
      <c r="D38" s="29">
        <f>VLOOKUP($B38,'County Data'!$B$10:$L$46,5,FALSE)</f>
        <v>0.122</v>
      </c>
      <c r="E38" s="31">
        <f t="shared" si="0"/>
        <v>888.16</v>
      </c>
      <c r="F38" s="6">
        <f t="shared" si="1"/>
        <v>1.2369991808794101E-3</v>
      </c>
      <c r="G38" s="14">
        <f t="shared" si="2"/>
        <v>1265.8624950999297</v>
      </c>
      <c r="H38" s="10">
        <f t="shared" si="3"/>
        <v>0.17388221086537495</v>
      </c>
      <c r="J38" s="183"/>
      <c r="K38" s="183"/>
      <c r="L38" s="22"/>
    </row>
    <row r="39" spans="2:12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Data'!$B$10:$L$46,5,FALSE)</f>
        <v>0.27100000000000002</v>
      </c>
      <c r="E39" s="31">
        <f t="shared" si="0"/>
        <v>8700.4549999999999</v>
      </c>
      <c r="F39" s="6">
        <f t="shared" si="1"/>
        <v>1.2117699185144758E-2</v>
      </c>
      <c r="G39" s="14">
        <f t="shared" si="2"/>
        <v>12400.445499464802</v>
      </c>
      <c r="H39" s="10">
        <f t="shared" si="3"/>
        <v>0.38624655036489025</v>
      </c>
      <c r="J39" s="183"/>
      <c r="K39" s="183"/>
      <c r="L39" s="22"/>
    </row>
    <row r="40" spans="2:12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Data'!$B$10:$L$46,5,FALSE)</f>
        <v>0.33399999999999996</v>
      </c>
      <c r="E40" s="31">
        <f t="shared" si="0"/>
        <v>480.95999999999992</v>
      </c>
      <c r="F40" s="6">
        <f t="shared" si="1"/>
        <v>6.6986480593109459E-4</v>
      </c>
      <c r="G40" s="14">
        <f t="shared" si="2"/>
        <v>685.49498473615336</v>
      </c>
      <c r="H40" s="10">
        <f t="shared" si="3"/>
        <v>0.47603818384455093</v>
      </c>
      <c r="J40" s="183"/>
      <c r="K40" s="183"/>
      <c r="L40" s="22"/>
    </row>
    <row r="41" spans="2:12" x14ac:dyDescent="0.25">
      <c r="B41" s="4" t="s">
        <v>2</v>
      </c>
      <c r="C41" s="5">
        <f>SUM(C6:C40)</f>
        <v>4268055</v>
      </c>
      <c r="D41" s="5">
        <f>SUM(D6:D40)</f>
        <v>6.2360000000000015</v>
      </c>
      <c r="E41" s="5">
        <f>SUM(E6:E40)</f>
        <v>717995.62499999988</v>
      </c>
      <c r="F41" s="8">
        <f>SUM(F6:F40)</f>
        <v>1</v>
      </c>
      <c r="G41" s="11">
        <f>SUM(G6:G40)</f>
        <v>1023333.3333333334</v>
      </c>
      <c r="H41" s="12">
        <f t="shared" ref="H41" si="4">G41/C41</f>
        <v>0.23976573247845526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8000000</v>
      </c>
    </row>
    <row r="4" spans="2:8" x14ac:dyDescent="0.25">
      <c r="B4" t="s">
        <v>41</v>
      </c>
      <c r="C4" s="14">
        <f>'County Data'!G9</f>
        <v>1023333.3333333333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Data'!$B$10:$L$46,6,FALSE)</f>
        <v>6.1711079943899017E-2</v>
      </c>
      <c r="E7" s="31">
        <f t="shared" ref="E7:E40" si="0">C7*D7</f>
        <v>88.86395511921458</v>
      </c>
      <c r="F7" s="6">
        <f t="shared" ref="F7:F40" si="1">E7/$E$41</f>
        <v>1.3351210192391402E-4</v>
      </c>
      <c r="G7" s="14">
        <f t="shared" ref="G7:G40" si="2">$C$4*F7</f>
        <v>136.62738430213867</v>
      </c>
      <c r="H7" s="10">
        <f t="shared" ref="H7:H40" si="3">G7/C7</f>
        <v>9.4880127987596291E-2</v>
      </c>
    </row>
    <row r="8" spans="2:8" x14ac:dyDescent="0.25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Data'!$B$10:$L$46,6,FALSE)</f>
        <v>4.9393414211438474E-2</v>
      </c>
      <c r="E8" s="31">
        <f t="shared" si="0"/>
        <v>353.65684575389946</v>
      </c>
      <c r="F8" s="6">
        <f t="shared" si="1"/>
        <v>5.3134556944984526E-4</v>
      </c>
      <c r="G8" s="14">
        <f t="shared" si="2"/>
        <v>543.74363273700828</v>
      </c>
      <c r="H8" s="10">
        <f t="shared" si="3"/>
        <v>7.5941848147626861E-2</v>
      </c>
    </row>
    <row r="9" spans="2:8" x14ac:dyDescent="0.25">
      <c r="B9" s="20" t="str">
        <f>+'County Data'!$B$21</f>
        <v>Grant</v>
      </c>
      <c r="C9" s="15">
        <f>VLOOKUP($B9,'County Data'!$B$10:$L$46,2,FALSE)</f>
        <v>7315</v>
      </c>
      <c r="D9" s="29">
        <f>VLOOKUP($B9,'County Data'!$B$10:$L$46,6,FALSE)</f>
        <v>5.3181122093832661E-2</v>
      </c>
      <c r="E9" s="31">
        <f t="shared" si="0"/>
        <v>389.01990811638592</v>
      </c>
      <c r="F9" s="6">
        <f t="shared" si="1"/>
        <v>5.8447618669671517E-4</v>
      </c>
      <c r="G9" s="14">
        <f t="shared" si="2"/>
        <v>598.11396438630516</v>
      </c>
      <c r="H9" s="10">
        <f t="shared" si="3"/>
        <v>8.1765408665250186E-2</v>
      </c>
    </row>
    <row r="10" spans="2:8" x14ac:dyDescent="0.25">
      <c r="B10" s="20" t="str">
        <f>+'County Data'!$B$10</f>
        <v>Baker</v>
      </c>
      <c r="C10" s="15">
        <f>VLOOKUP($B10,'County Data'!$B$10:$L$46,2,FALSE)</f>
        <v>16910</v>
      </c>
      <c r="D10" s="29">
        <f>VLOOKUP($B10,'County Data'!$B$10:$L$46,6,FALSE)</f>
        <v>7.063313313313313E-2</v>
      </c>
      <c r="E10" s="31">
        <f t="shared" si="0"/>
        <v>1194.4062812812813</v>
      </c>
      <c r="F10" s="6">
        <f t="shared" si="1"/>
        <v>1.7945149183497089E-3</v>
      </c>
      <c r="G10" s="14">
        <f t="shared" si="2"/>
        <v>1836.3869331112019</v>
      </c>
      <c r="H10" s="10">
        <f t="shared" si="3"/>
        <v>0.10859768971680674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Data'!$B$10:$L$46,6,FALSE)</f>
        <v>7.9414476717381277E-2</v>
      </c>
      <c r="E11" s="31">
        <f t="shared" si="0"/>
        <v>2131.4845550945133</v>
      </c>
      <c r="F11" s="6">
        <f t="shared" si="1"/>
        <v>3.2024118528964076E-3</v>
      </c>
      <c r="G11" s="14">
        <f t="shared" si="2"/>
        <v>3277.1347961306569</v>
      </c>
      <c r="H11" s="10">
        <f t="shared" si="3"/>
        <v>0.12209891192737171</v>
      </c>
    </row>
    <row r="12" spans="2:8" x14ac:dyDescent="0.25">
      <c r="B12" s="20" t="str">
        <f>+'County Data'!$B$14</f>
        <v>Columbia</v>
      </c>
      <c r="C12" s="15">
        <f>VLOOKUP($B12,'County Data'!$B$10:$L$46,2,FALSE)</f>
        <v>53280</v>
      </c>
      <c r="D12" s="29">
        <f>VLOOKUP($B12,'County Data'!$B$10:$L$46,6,FALSE)</f>
        <v>7.1640675699592926E-2</v>
      </c>
      <c r="E12" s="31">
        <f t="shared" si="0"/>
        <v>3817.015201274311</v>
      </c>
      <c r="F12" s="6">
        <f t="shared" si="1"/>
        <v>5.7348080210248608E-3</v>
      </c>
      <c r="G12" s="14">
        <f t="shared" si="2"/>
        <v>5868.6202081821075</v>
      </c>
      <c r="H12" s="10">
        <f t="shared" si="3"/>
        <v>0.1101467756790936</v>
      </c>
    </row>
    <row r="13" spans="2:8" x14ac:dyDescent="0.25">
      <c r="B13" s="20" t="str">
        <f>+'County Data'!$B$19</f>
        <v>Douglas</v>
      </c>
      <c r="C13" s="15">
        <f>VLOOKUP($B13,'County Data'!$B$10:$L$46,2,FALSE)</f>
        <v>112530</v>
      </c>
      <c r="D13" s="29">
        <f>VLOOKUP($B13,'County Data'!$B$10:$L$46,6,FALSE)</f>
        <v>7.483175318261126E-2</v>
      </c>
      <c r="E13" s="31">
        <f t="shared" si="0"/>
        <v>8420.8171856392455</v>
      </c>
      <c r="F13" s="6">
        <f t="shared" si="1"/>
        <v>1.2651710143482197E-2</v>
      </c>
      <c r="G13" s="14">
        <f t="shared" si="2"/>
        <v>12946.916713496781</v>
      </c>
      <c r="H13" s="10">
        <f t="shared" si="3"/>
        <v>0.11505302331375439</v>
      </c>
    </row>
    <row r="14" spans="2:8" x14ac:dyDescent="0.25">
      <c r="B14" s="20" t="str">
        <f>+'County Data'!$B$16</f>
        <v>Crook</v>
      </c>
      <c r="C14" s="15">
        <f>VLOOKUP($B14,'County Data'!$B$10:$L$46,2,FALSE)</f>
        <v>23440</v>
      </c>
      <c r="D14" s="29">
        <f>VLOOKUP($B14,'County Data'!$B$10:$L$46,6,FALSE)</f>
        <v>7.2167256122129209E-2</v>
      </c>
      <c r="E14" s="31">
        <f t="shared" si="0"/>
        <v>1691.6004835027086</v>
      </c>
      <c r="F14" s="6">
        <f t="shared" si="1"/>
        <v>2.5415156895162963E-3</v>
      </c>
      <c r="G14" s="14">
        <f t="shared" si="2"/>
        <v>2600.8177222716763</v>
      </c>
      <c r="H14" s="10">
        <f t="shared" si="3"/>
        <v>0.11095638746892816</v>
      </c>
    </row>
    <row r="15" spans="2:8" x14ac:dyDescent="0.25">
      <c r="B15" s="20" t="str">
        <f>+'County Data'!$B$18</f>
        <v>Deschutes</v>
      </c>
      <c r="C15" s="15">
        <f>VLOOKUP($B15,'County Data'!$B$10:$L$46,2,FALSE)</f>
        <v>197015</v>
      </c>
      <c r="D15" s="29">
        <f>VLOOKUP($B15,'County Data'!$B$10:$L$46,6,FALSE)</f>
        <v>6.5085252435783877E-2</v>
      </c>
      <c r="E15" s="31">
        <f t="shared" si="0"/>
        <v>12822.77100863596</v>
      </c>
      <c r="F15" s="6">
        <f t="shared" si="1"/>
        <v>1.9265349010803127E-2</v>
      </c>
      <c r="G15" s="14">
        <f t="shared" si="2"/>
        <v>19714.873821055196</v>
      </c>
      <c r="H15" s="10">
        <f t="shared" si="3"/>
        <v>0.10006788224782477</v>
      </c>
    </row>
    <row r="16" spans="2:8" x14ac:dyDescent="0.25">
      <c r="B16" s="20" t="str">
        <f>+'County Data'!$B$26</f>
        <v>Josephine</v>
      </c>
      <c r="C16" s="15">
        <f>VLOOKUP($B16,'County Data'!$B$10:$L$46,2,FALSE)</f>
        <v>86560</v>
      </c>
      <c r="D16" s="29">
        <f>VLOOKUP($B16,'County Data'!$B$10:$L$46,6,FALSE)</f>
        <v>7.9491348954738486E-2</v>
      </c>
      <c r="E16" s="31">
        <f t="shared" si="0"/>
        <v>6880.7711655221638</v>
      </c>
      <c r="F16" s="6">
        <f t="shared" si="1"/>
        <v>1.0337894818364723E-2</v>
      </c>
      <c r="G16" s="14">
        <f t="shared" si="2"/>
        <v>10579.112364126566</v>
      </c>
      <c r="H16" s="10">
        <f t="shared" si="3"/>
        <v>0.12221710217336605</v>
      </c>
    </row>
    <row r="17" spans="2:8" x14ac:dyDescent="0.25">
      <c r="B17" s="20" t="str">
        <f>+'County Data'!$B$17</f>
        <v>Curry</v>
      </c>
      <c r="C17" s="15">
        <f>VLOOKUP($B17,'County Data'!$B$10:$L$46,2,FALSE)</f>
        <v>23005</v>
      </c>
      <c r="D17" s="29">
        <f>VLOOKUP($B17,'County Data'!$B$10:$L$46,6,FALSE)</f>
        <v>9.2726707246634385E-2</v>
      </c>
      <c r="E17" s="31">
        <f t="shared" si="0"/>
        <v>2133.1779002088242</v>
      </c>
      <c r="F17" s="6">
        <f t="shared" si="1"/>
        <v>3.2049559897761016E-3</v>
      </c>
      <c r="G17" s="14">
        <f t="shared" si="2"/>
        <v>3279.7382962042102</v>
      </c>
      <c r="H17" s="10">
        <f t="shared" si="3"/>
        <v>0.14256632454702065</v>
      </c>
    </row>
    <row r="18" spans="2:8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Data'!$B$10:$L$46,6,FALSE)</f>
        <v>9.0896513558384059E-2</v>
      </c>
      <c r="E18" s="31">
        <f t="shared" si="0"/>
        <v>661.726618705036</v>
      </c>
      <c r="F18" s="6">
        <f t="shared" si="1"/>
        <v>9.9419963520406738E-4</v>
      </c>
      <c r="G18" s="14">
        <f t="shared" si="2"/>
        <v>1017.3976266921622</v>
      </c>
      <c r="H18" s="10">
        <f t="shared" si="3"/>
        <v>0.1397524212489234</v>
      </c>
    </row>
    <row r="19" spans="2:8" x14ac:dyDescent="0.25">
      <c r="B19" s="20" t="str">
        <f>+'County Data'!$B$13</f>
        <v>Clatsop</v>
      </c>
      <c r="C19" s="15">
        <f>VLOOKUP($B19,'County Data'!$B$10:$L$46,2,FALSE)</f>
        <v>39455</v>
      </c>
      <c r="D19" s="29">
        <f>VLOOKUP($B19,'County Data'!$B$10:$L$46,6,FALSE)</f>
        <v>8.7962242622270634E-2</v>
      </c>
      <c r="E19" s="31">
        <f t="shared" si="0"/>
        <v>3470.550282661688</v>
      </c>
      <c r="F19" s="6">
        <f t="shared" si="1"/>
        <v>5.2142678372707942E-3</v>
      </c>
      <c r="G19" s="14">
        <f t="shared" si="2"/>
        <v>5335.9340868071122</v>
      </c>
      <c r="H19" s="10">
        <f t="shared" si="3"/>
        <v>0.1352410109442938</v>
      </c>
    </row>
    <row r="20" spans="2:8" x14ac:dyDescent="0.25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Data'!$B$10:$L$46,6,FALSE)</f>
        <v>9.5881826320501337E-2</v>
      </c>
      <c r="E20" s="31">
        <f t="shared" si="0"/>
        <v>12207.674127126231</v>
      </c>
      <c r="F20" s="6">
        <f t="shared" si="1"/>
        <v>1.8341207412254677E-2</v>
      </c>
      <c r="G20" s="14">
        <f t="shared" si="2"/>
        <v>18769.168918540618</v>
      </c>
      <c r="H20" s="10">
        <f t="shared" si="3"/>
        <v>0.14741728651068658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Data'!$B$10:$L$46,6,FALSE)</f>
        <v>0.11684147343147785</v>
      </c>
      <c r="E21" s="31">
        <f t="shared" si="0"/>
        <v>7397.8178903140206</v>
      </c>
      <c r="F21" s="6">
        <f t="shared" si="1"/>
        <v>1.1114722666362566E-2</v>
      </c>
      <c r="G21" s="14">
        <f t="shared" si="2"/>
        <v>11374.066195244359</v>
      </c>
      <c r="H21" s="10">
        <f t="shared" si="3"/>
        <v>0.17964252065457409</v>
      </c>
    </row>
    <row r="22" spans="2:8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Data'!$B$10:$L$46,6,FALSE)</f>
        <v>8.9506566364911389E-2</v>
      </c>
      <c r="E22" s="31">
        <f t="shared" si="0"/>
        <v>722.76552339665943</v>
      </c>
      <c r="F22" s="6">
        <f t="shared" si="1"/>
        <v>1.0859064746484666E-3</v>
      </c>
      <c r="G22" s="14">
        <f t="shared" si="2"/>
        <v>1111.244292390264</v>
      </c>
      <c r="H22" s="10">
        <f t="shared" si="3"/>
        <v>0.13761539224647232</v>
      </c>
    </row>
    <row r="23" spans="2:8" x14ac:dyDescent="0.25">
      <c r="B23" s="20" t="str">
        <f>+'County Data'!$B$39</f>
        <v>Tillamook</v>
      </c>
      <c r="C23" s="15">
        <f>VLOOKUP($B23,'County Data'!$B$10:$L$46,2,FALSE)</f>
        <v>26530</v>
      </c>
      <c r="D23" s="29">
        <f>VLOOKUP($B23,'County Data'!$B$10:$L$46,6,FALSE)</f>
        <v>7.5088203712225798E-2</v>
      </c>
      <c r="E23" s="31">
        <f t="shared" si="0"/>
        <v>1992.0900444853505</v>
      </c>
      <c r="F23" s="6">
        <f t="shared" si="1"/>
        <v>2.9929809977975383E-3</v>
      </c>
      <c r="G23" s="14">
        <f t="shared" si="2"/>
        <v>3062.8172210794805</v>
      </c>
      <c r="H23" s="10">
        <f t="shared" si="3"/>
        <v>0.11544731327099436</v>
      </c>
    </row>
    <row r="24" spans="2:8" x14ac:dyDescent="0.25">
      <c r="B24" s="20" t="str">
        <f>+'County Data'!$B$12</f>
        <v>Clackamas</v>
      </c>
      <c r="C24" s="15">
        <f>VLOOKUP($B24,'County Data'!$B$10:$L$46,2,FALSE)</f>
        <v>426515</v>
      </c>
      <c r="D24" s="29">
        <f>VLOOKUP($B24,'County Data'!$B$10:$L$46,6,FALSE)</f>
        <v>0.11963882618510158</v>
      </c>
      <c r="E24" s="31">
        <f t="shared" si="0"/>
        <v>51027.7539503386</v>
      </c>
      <c r="F24" s="6">
        <f t="shared" si="1"/>
        <v>7.6665760343733708E-2</v>
      </c>
      <c r="G24" s="14">
        <f t="shared" si="2"/>
        <v>78454.62808508749</v>
      </c>
      <c r="H24" s="10">
        <f t="shared" si="3"/>
        <v>0.18394342071225511</v>
      </c>
    </row>
    <row r="25" spans="2:8" x14ac:dyDescent="0.25">
      <c r="B25" s="20" t="str">
        <f>+'County Data'!$B$29</f>
        <v>Lane</v>
      </c>
      <c r="C25" s="15">
        <f>VLOOKUP($B25,'County Data'!$B$10:$L$46,2,FALSE)</f>
        <v>381365</v>
      </c>
      <c r="D25" s="29">
        <f>VLOOKUP($B25,'County Data'!$B$10:$L$46,6,FALSE)</f>
        <v>0.1300198979619499</v>
      </c>
      <c r="E25" s="31">
        <f t="shared" si="0"/>
        <v>49585.038386259024</v>
      </c>
      <c r="F25" s="6">
        <f t="shared" si="1"/>
        <v>7.4498177467412233E-2</v>
      </c>
      <c r="G25" s="14">
        <f t="shared" si="2"/>
        <v>76236.468274985178</v>
      </c>
      <c r="H25" s="10">
        <f t="shared" si="3"/>
        <v>0.19990420797657146</v>
      </c>
    </row>
    <row r="26" spans="2:8" x14ac:dyDescent="0.25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Data'!$B$10:$L$46,6,FALSE)</f>
        <v>0.11814707295169274</v>
      </c>
      <c r="E26" s="31">
        <f t="shared" si="0"/>
        <v>5707.0943589315184</v>
      </c>
      <c r="F26" s="6">
        <f t="shared" si="1"/>
        <v>8.5745245382883445E-3</v>
      </c>
      <c r="G26" s="14">
        <f t="shared" si="2"/>
        <v>8774.5967775150712</v>
      </c>
      <c r="H26" s="10">
        <f t="shared" si="3"/>
        <v>0.18164986600797167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Data'!$B$10:$L$46,6,FALSE)</f>
        <v>8.6331539621126913E-2</v>
      </c>
      <c r="E27" s="31">
        <f t="shared" si="0"/>
        <v>19272.652905020372</v>
      </c>
      <c r="F27" s="6">
        <f t="shared" si="1"/>
        <v>2.8955861750102577E-2</v>
      </c>
      <c r="G27" s="14">
        <f t="shared" si="2"/>
        <v>29631.498524271636</v>
      </c>
      <c r="H27" s="10">
        <f t="shared" si="3"/>
        <v>0.1327338224523904</v>
      </c>
    </row>
    <row r="28" spans="2:8" x14ac:dyDescent="0.25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Data'!$B$10:$L$46,6,FALSE)</f>
        <v>0.14361773223435065</v>
      </c>
      <c r="E28" s="31">
        <f t="shared" si="0"/>
        <v>13595.572621964804</v>
      </c>
      <c r="F28" s="6">
        <f t="shared" si="1"/>
        <v>2.0426431337459732E-2</v>
      </c>
      <c r="G28" s="14">
        <f t="shared" si="2"/>
        <v>20903.048068667125</v>
      </c>
      <c r="H28" s="10">
        <f t="shared" si="3"/>
        <v>0.22081073330868986</v>
      </c>
    </row>
    <row r="29" spans="2:8" x14ac:dyDescent="0.25">
      <c r="B29" s="20" t="str">
        <f>+'County Data'!$B$27</f>
        <v>Klamath</v>
      </c>
      <c r="C29" s="15">
        <f>VLOOKUP($B29,'County Data'!$B$10:$L$46,2,FALSE)</f>
        <v>68075</v>
      </c>
      <c r="D29" s="29">
        <f>VLOOKUP($B29,'County Data'!$B$10:$L$46,6,FALSE)</f>
        <v>0.12005730659025787</v>
      </c>
      <c r="E29" s="31">
        <f t="shared" si="0"/>
        <v>8172.901146131805</v>
      </c>
      <c r="F29" s="6">
        <f t="shared" si="1"/>
        <v>1.2279233007044978E-2</v>
      </c>
      <c r="G29" s="14">
        <f t="shared" si="2"/>
        <v>12565.748443876026</v>
      </c>
      <c r="H29" s="10">
        <f t="shared" si="3"/>
        <v>0.18458682987698899</v>
      </c>
    </row>
    <row r="30" spans="2:8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Data'!$B$10:$L$46,6,FALSE)</f>
        <v>0.12019354759477814</v>
      </c>
      <c r="E30" s="31">
        <f t="shared" si="0"/>
        <v>10072.820256180383</v>
      </c>
      <c r="F30" s="6">
        <f t="shared" si="1"/>
        <v>1.5133733389429485E-2</v>
      </c>
      <c r="G30" s="14">
        <f t="shared" si="2"/>
        <v>15486.853835182839</v>
      </c>
      <c r="H30" s="10">
        <f t="shared" si="3"/>
        <v>0.18479629897002373</v>
      </c>
    </row>
    <row r="31" spans="2:8" x14ac:dyDescent="0.25">
      <c r="B31" s="20" t="str">
        <f>+'County Data'!$B$46</f>
        <v>Yamhill</v>
      </c>
      <c r="C31" s="15">
        <f>VLOOKUP($B31,'County Data'!$B$10:$L$46,2,FALSE)</f>
        <v>108605</v>
      </c>
      <c r="D31" s="29">
        <f>VLOOKUP($B31,'County Data'!$B$10:$L$46,6,FALSE)</f>
        <v>0.11686572914659989</v>
      </c>
      <c r="E31" s="31">
        <f t="shared" si="0"/>
        <v>12692.20251396648</v>
      </c>
      <c r="F31" s="6">
        <f t="shared" si="1"/>
        <v>1.9069178649659766E-2</v>
      </c>
      <c r="G31" s="14">
        <f t="shared" si="2"/>
        <v>19514.126151485158</v>
      </c>
      <c r="H31" s="10">
        <f t="shared" si="3"/>
        <v>0.17967981355817098</v>
      </c>
    </row>
    <row r="32" spans="2:8" x14ac:dyDescent="0.25">
      <c r="B32" s="20" t="str">
        <f>+'County Data'!$B$36</f>
        <v>Gilliam, Sherman, Wasco</v>
      </c>
      <c r="C32" s="15">
        <f>VLOOKUP($B32,'County Data'!$B$10:$L$46,2,FALSE)</f>
        <v>31080</v>
      </c>
      <c r="D32" s="29">
        <f>VLOOKUP($B32,'County Data'!$B$10:$L$46,6,FALSE)</f>
        <v>0.11961331608686772</v>
      </c>
      <c r="E32" s="31">
        <f t="shared" si="0"/>
        <v>3717.5818639798485</v>
      </c>
      <c r="F32" s="6">
        <f t="shared" si="1"/>
        <v>5.5854161349031643E-3</v>
      </c>
      <c r="G32" s="14">
        <f t="shared" si="2"/>
        <v>5715.7425113842373</v>
      </c>
      <c r="H32" s="10">
        <f t="shared" si="3"/>
        <v>0.18390419920798703</v>
      </c>
    </row>
    <row r="33" spans="2:8" x14ac:dyDescent="0.25">
      <c r="B33" s="20" t="str">
        <f>+'County Data'!$B$35</f>
        <v>Multnomah</v>
      </c>
      <c r="C33" s="15">
        <f>VLOOKUP($B33,'County Data'!$B$10:$L$46,2,FALSE)</f>
        <v>829560</v>
      </c>
      <c r="D33" s="29">
        <f>VLOOKUP($B33,'County Data'!$B$10:$L$46,6,FALSE)</f>
        <v>0.22188526345181289</v>
      </c>
      <c r="E33" s="31">
        <f t="shared" si="0"/>
        <v>184067.13914908591</v>
      </c>
      <c r="F33" s="6">
        <f t="shared" si="1"/>
        <v>0.27654846793559223</v>
      </c>
      <c r="G33" s="14">
        <f t="shared" si="2"/>
        <v>283001.26552075602</v>
      </c>
      <c r="H33" s="10">
        <f t="shared" si="3"/>
        <v>0.34114622874868122</v>
      </c>
    </row>
    <row r="34" spans="2:8" x14ac:dyDescent="0.25">
      <c r="B34" s="20" t="str">
        <f>+'County Data'!$B$44</f>
        <v>Washington</v>
      </c>
      <c r="C34" s="15">
        <f>VLOOKUP($B34,'County Data'!$B$10:$L$46,2,FALSE)</f>
        <v>620080</v>
      </c>
      <c r="D34" s="29">
        <f>VLOOKUP($B34,'County Data'!$B$10:$L$46,6,FALSE)</f>
        <v>0.2386094692353834</v>
      </c>
      <c r="E34" s="31">
        <f t="shared" si="0"/>
        <v>147956.95968347654</v>
      </c>
      <c r="F34" s="6">
        <f t="shared" si="1"/>
        <v>0.22229535760716376</v>
      </c>
      <c r="G34" s="14">
        <f t="shared" si="2"/>
        <v>227482.24928466423</v>
      </c>
      <c r="H34" s="10">
        <f t="shared" si="3"/>
        <v>0.36685951697307478</v>
      </c>
    </row>
    <row r="35" spans="2:8" x14ac:dyDescent="0.25">
      <c r="B35" s="20" t="str">
        <f>+'County Data'!$B$40</f>
        <v>Umatilla</v>
      </c>
      <c r="C35" s="15">
        <f>VLOOKUP($B35,'County Data'!$B$10:$L$46,2,FALSE)</f>
        <v>81495</v>
      </c>
      <c r="D35" s="29">
        <f>VLOOKUP($B35,'County Data'!$B$10:$L$46,6,FALSE)</f>
        <v>0.14515331998231423</v>
      </c>
      <c r="E35" s="31">
        <f t="shared" si="0"/>
        <v>11829.269811958698</v>
      </c>
      <c r="F35" s="6">
        <f t="shared" si="1"/>
        <v>1.7772680438327849E-2</v>
      </c>
      <c r="G35" s="14">
        <f t="shared" si="2"/>
        <v>18187.376315222165</v>
      </c>
      <c r="H35" s="10">
        <f t="shared" si="3"/>
        <v>0.22317168311211935</v>
      </c>
    </row>
    <row r="36" spans="2:8" x14ac:dyDescent="0.25">
      <c r="B36" s="20" t="str">
        <f>+'County Data'!$B$33</f>
        <v>Marion</v>
      </c>
      <c r="C36" s="15">
        <f>VLOOKUP($B36,'County Data'!$B$10:$L$46,2,FALSE)</f>
        <v>349120</v>
      </c>
      <c r="D36" s="29">
        <f>VLOOKUP($B36,'County Data'!$B$10:$L$46,6,FALSE)</f>
        <v>0.18943058175608621</v>
      </c>
      <c r="E36" s="31">
        <f t="shared" si="0"/>
        <v>66134.004702684819</v>
      </c>
      <c r="F36" s="6">
        <f t="shared" si="1"/>
        <v>9.9361883731779427E-2</v>
      </c>
      <c r="G36" s="14">
        <f t="shared" si="2"/>
        <v>101680.32768552094</v>
      </c>
      <c r="H36" s="10">
        <f t="shared" si="3"/>
        <v>0.29124750139069933</v>
      </c>
    </row>
    <row r="37" spans="2:8" x14ac:dyDescent="0.25">
      <c r="B37" s="20" t="str">
        <f>+'County Data'!$B$23</f>
        <v>Hood River</v>
      </c>
      <c r="C37" s="15">
        <f>VLOOKUP($B37,'County Data'!$B$10:$L$46,2,FALSE)</f>
        <v>25640</v>
      </c>
      <c r="D37" s="29">
        <f>VLOOKUP($B37,'County Data'!$B$10:$L$46,6,FALSE)</f>
        <v>0.13401928148372313</v>
      </c>
      <c r="E37" s="31">
        <f t="shared" si="0"/>
        <v>3436.2543772426611</v>
      </c>
      <c r="F37" s="6">
        <f t="shared" si="1"/>
        <v>5.1627405513905373E-3</v>
      </c>
      <c r="G37" s="14">
        <f t="shared" si="2"/>
        <v>5283.2044975896497</v>
      </c>
      <c r="H37" s="10">
        <f t="shared" si="3"/>
        <v>0.20605321753469771</v>
      </c>
    </row>
    <row r="38" spans="2:8" x14ac:dyDescent="0.25">
      <c r="B38" s="20" t="str">
        <f>+'County Data'!$B$32</f>
        <v>Malheur</v>
      </c>
      <c r="C38" s="15">
        <f>VLOOKUP($B38,'County Data'!$B$10:$L$46,2,FALSE)</f>
        <v>32105</v>
      </c>
      <c r="D38" s="29">
        <f>VLOOKUP($B38,'County Data'!$B$10:$L$46,6,FALSE)</f>
        <v>0.10926357990207354</v>
      </c>
      <c r="E38" s="31">
        <f t="shared" si="0"/>
        <v>3507.9072327560712</v>
      </c>
      <c r="F38" s="6">
        <f t="shared" si="1"/>
        <v>5.2703941364196085E-3</v>
      </c>
      <c r="G38" s="14">
        <f t="shared" si="2"/>
        <v>5393.3699996027326</v>
      </c>
      <c r="H38" s="10">
        <f t="shared" si="3"/>
        <v>0.16799159008262676</v>
      </c>
    </row>
    <row r="39" spans="2:8" x14ac:dyDescent="0.25">
      <c r="B39" s="20" t="str">
        <f>+'County Data'!$B$34</f>
        <v>Morrow</v>
      </c>
      <c r="C39" s="15">
        <f>VLOOKUP($B39,'County Data'!$B$10:$L$46,2,FALSE)</f>
        <v>12825</v>
      </c>
      <c r="D39" s="29">
        <f>VLOOKUP($B39,'County Data'!$B$10:$L$46,6,FALSE)</f>
        <v>0.11404369148461882</v>
      </c>
      <c r="E39" s="31">
        <f t="shared" si="0"/>
        <v>1462.6103432902364</v>
      </c>
      <c r="F39" s="6">
        <f t="shared" si="1"/>
        <v>2.1974734409060011E-3</v>
      </c>
      <c r="G39" s="14">
        <f t="shared" si="2"/>
        <v>2248.7478211938078</v>
      </c>
      <c r="H39" s="10">
        <f t="shared" si="3"/>
        <v>0.17534096071686611</v>
      </c>
    </row>
    <row r="40" spans="2:8" x14ac:dyDescent="0.25">
      <c r="B40" s="20" t="str">
        <f>+'County Data'!$B$25</f>
        <v>Jefferson</v>
      </c>
      <c r="C40" s="15">
        <f>VLOOKUP($B40,'County Data'!$B$10:$L$46,2,FALSE)</f>
        <v>24105</v>
      </c>
      <c r="D40" s="29">
        <f>VLOOKUP($B40,'County Data'!$B$10:$L$46,6,FALSE)</f>
        <v>0.28928833772631035</v>
      </c>
      <c r="E40" s="31">
        <f t="shared" si="0"/>
        <v>6973.2953808927114</v>
      </c>
      <c r="F40" s="6">
        <f t="shared" si="1"/>
        <v>1.0476906214564798E-2</v>
      </c>
      <c r="G40" s="14">
        <f t="shared" si="2"/>
        <v>10721.367359571308</v>
      </c>
      <c r="H40" s="10">
        <f t="shared" si="3"/>
        <v>0.44477773738109555</v>
      </c>
    </row>
    <row r="41" spans="2:8" x14ac:dyDescent="0.25">
      <c r="B41" s="4" t="s">
        <v>2</v>
      </c>
      <c r="C41" s="5">
        <f>SUM(C7:C40)</f>
        <v>4268055</v>
      </c>
      <c r="D41" s="5"/>
      <c r="E41" s="5">
        <f>SUM(E7:E40)</f>
        <v>665587.26766099781</v>
      </c>
      <c r="F41" s="8">
        <f>SUM(F7:F40)</f>
        <v>1.0000000000000002</v>
      </c>
      <c r="G41" s="11">
        <f>SUM(G7:G40)</f>
        <v>1023333.3333333335</v>
      </c>
      <c r="H41" s="12">
        <f t="shared" ref="H41" si="4">G41/C41</f>
        <v>0.23976573247845528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8000000</v>
      </c>
    </row>
    <row r="4" spans="2:8" x14ac:dyDescent="0.25">
      <c r="B4" t="s">
        <v>41</v>
      </c>
      <c r="C4" s="14">
        <f>'County Data'!I9</f>
        <v>1023333.3333333333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Data'!$B$35</f>
        <v>Multnomah</v>
      </c>
      <c r="C7" s="15">
        <f>VLOOKUP($B7,'County Data'!$B$10:$L$46,2,FALSE)</f>
        <v>829560</v>
      </c>
      <c r="D7" s="29">
        <f>VLOOKUP($B7,'County Data'!$B$10:$L$46,8,FALSE)</f>
        <v>1.2999999999999999E-2</v>
      </c>
      <c r="E7" s="31">
        <f t="shared" ref="E7:E40" si="0">C7*D7</f>
        <v>10784.279999999999</v>
      </c>
      <c r="F7" s="6">
        <f t="shared" ref="F7:F40" si="1">IF(E7=0,0,E7/$E$41)</f>
        <v>1.3592126723024216E-2</v>
      </c>
      <c r="G7" s="14">
        <f t="shared" ref="G7:G40" si="2">$C$4*F7</f>
        <v>13909.276346561446</v>
      </c>
      <c r="H7" s="10">
        <f t="shared" ref="H7:H40" si="3">G7/C7</f>
        <v>1.6767052831092925E-2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Data'!$B$10:$L$46,8,FALSE)</f>
        <v>5.6000000000000001E-2</v>
      </c>
      <c r="E8" s="31">
        <f t="shared" si="0"/>
        <v>34724.480000000003</v>
      </c>
      <c r="F8" s="6">
        <f t="shared" si="1"/>
        <v>4.3765511703249549E-2</v>
      </c>
      <c r="G8" s="14">
        <f t="shared" si="2"/>
        <v>44786.706976325368</v>
      </c>
      <c r="H8" s="10">
        <f t="shared" si="3"/>
        <v>7.222730450316954E-2</v>
      </c>
    </row>
    <row r="9" spans="2:8" x14ac:dyDescent="0.25">
      <c r="B9" s="20" t="str">
        <f>+'County Data'!$B$33</f>
        <v>Marion</v>
      </c>
      <c r="C9" s="15">
        <f>VLOOKUP($B9,'County Data'!$B$10:$L$46,2,FALSE)</f>
        <v>349120</v>
      </c>
      <c r="D9" s="29">
        <f>VLOOKUP($B9,'County Data'!$B$10:$L$46,8,FALSE)</f>
        <v>0.13100000000000001</v>
      </c>
      <c r="E9" s="31">
        <f t="shared" si="0"/>
        <v>45734.720000000001</v>
      </c>
      <c r="F9" s="6">
        <f t="shared" si="1"/>
        <v>5.7642430452661673E-2</v>
      </c>
      <c r="G9" s="14">
        <f t="shared" si="2"/>
        <v>58987.420496557112</v>
      </c>
      <c r="H9" s="10">
        <f t="shared" si="3"/>
        <v>0.16896030160562875</v>
      </c>
    </row>
    <row r="10" spans="2:8" x14ac:dyDescent="0.25">
      <c r="B10" s="20" t="str">
        <f>+'County Data'!$B$29</f>
        <v>Lane</v>
      </c>
      <c r="C10" s="15">
        <f>VLOOKUP($B10,'County Data'!$B$10:$L$46,2,FALSE)</f>
        <v>381365</v>
      </c>
      <c r="D10" s="29">
        <f>VLOOKUP($B10,'County Data'!$B$10:$L$46,8,FALSE)</f>
        <v>0.17499999999999999</v>
      </c>
      <c r="E10" s="31">
        <f t="shared" si="0"/>
        <v>66738.875</v>
      </c>
      <c r="F10" s="6">
        <f t="shared" si="1"/>
        <v>8.4115327713307972E-2</v>
      </c>
      <c r="G10" s="14">
        <f t="shared" si="2"/>
        <v>86078.01869328515</v>
      </c>
      <c r="H10" s="10">
        <f t="shared" si="3"/>
        <v>0.22571032657240478</v>
      </c>
    </row>
    <row r="11" spans="2:8" x14ac:dyDescent="0.25">
      <c r="B11" s="20" t="str">
        <f>+'County Data'!$B$12</f>
        <v>Clackamas</v>
      </c>
      <c r="C11" s="15">
        <f>VLOOKUP($B11,'County Data'!$B$10:$L$46,2,FALSE)</f>
        <v>426515</v>
      </c>
      <c r="D11" s="29">
        <f>VLOOKUP($B11,'County Data'!$B$10:$L$46,8,FALSE)</f>
        <v>0.18099999999999999</v>
      </c>
      <c r="E11" s="31">
        <f t="shared" si="0"/>
        <v>77199.214999999997</v>
      </c>
      <c r="F11" s="6">
        <f t="shared" si="1"/>
        <v>9.7299171868496737E-2</v>
      </c>
      <c r="G11" s="14">
        <f t="shared" si="2"/>
        <v>99569.485878761654</v>
      </c>
      <c r="H11" s="10">
        <f t="shared" si="3"/>
        <v>0.2334489663406015</v>
      </c>
    </row>
    <row r="12" spans="2:8" x14ac:dyDescent="0.25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Data'!$B$10:$L$46,8,FALSE)</f>
        <v>0.188</v>
      </c>
      <c r="E12" s="31">
        <f t="shared" si="0"/>
        <v>17797.02</v>
      </c>
      <c r="F12" s="6">
        <f t="shared" si="1"/>
        <v>2.2430737252018353E-2</v>
      </c>
      <c r="G12" s="14">
        <f t="shared" si="2"/>
        <v>22954.121121232114</v>
      </c>
      <c r="H12" s="10">
        <f t="shared" si="3"/>
        <v>0.24247737940349776</v>
      </c>
    </row>
    <row r="13" spans="2:8" x14ac:dyDescent="0.25">
      <c r="B13" s="20" t="str">
        <f>+'County Data'!$B$37</f>
        <v>Polk</v>
      </c>
      <c r="C13" s="15">
        <f>VLOOKUP($B13,'County Data'!$B$10:$L$46,2,FALSE)</f>
        <v>83805</v>
      </c>
      <c r="D13" s="29">
        <f>VLOOKUP($B13,'County Data'!$B$10:$L$46,8,FALSE)</f>
        <v>0.19900000000000001</v>
      </c>
      <c r="E13" s="31">
        <f t="shared" si="0"/>
        <v>16677.195</v>
      </c>
      <c r="F13" s="6">
        <f t="shared" si="1"/>
        <v>2.101934925879019E-2</v>
      </c>
      <c r="G13" s="14">
        <f t="shared" si="2"/>
        <v>21509.800741495292</v>
      </c>
      <c r="H13" s="10">
        <f t="shared" si="3"/>
        <v>0.25666488564519174</v>
      </c>
    </row>
    <row r="14" spans="2:8" x14ac:dyDescent="0.25">
      <c r="B14" s="20" t="str">
        <f>+'County Data'!$B$24</f>
        <v>Jackson</v>
      </c>
      <c r="C14" s="15">
        <f>VLOOKUP($B14,'County Data'!$B$10:$L$46,2,FALSE)</f>
        <v>223240</v>
      </c>
      <c r="D14" s="29">
        <f>VLOOKUP($B14,'County Data'!$B$10:$L$46,8,FALSE)</f>
        <v>0.20100000000000001</v>
      </c>
      <c r="E14" s="31">
        <f t="shared" si="0"/>
        <v>44871.240000000005</v>
      </c>
      <c r="F14" s="6">
        <f t="shared" si="1"/>
        <v>5.6554130669755731E-2</v>
      </c>
      <c r="G14" s="14">
        <f t="shared" si="2"/>
        <v>57873.727052050024</v>
      </c>
      <c r="H14" s="10">
        <f t="shared" si="3"/>
        <v>0.2592444322345907</v>
      </c>
    </row>
    <row r="15" spans="2:8" x14ac:dyDescent="0.25">
      <c r="B15" s="20" t="str">
        <f>+'County Data'!$B$46</f>
        <v>Yamhill</v>
      </c>
      <c r="C15" s="15">
        <f>VLOOKUP($B15,'County Data'!$B$10:$L$46,2,FALSE)</f>
        <v>108605</v>
      </c>
      <c r="D15" s="29">
        <f>VLOOKUP($B15,'County Data'!$B$10:$L$46,8,FALSE)</f>
        <v>0.22600000000000001</v>
      </c>
      <c r="E15" s="31">
        <f t="shared" si="0"/>
        <v>24544.73</v>
      </c>
      <c r="F15" s="6">
        <f t="shared" si="1"/>
        <v>3.0935313302549103E-2</v>
      </c>
      <c r="G15" s="14">
        <f t="shared" si="2"/>
        <v>31657.137279608578</v>
      </c>
      <c r="H15" s="10">
        <f t="shared" si="3"/>
        <v>0.29148876460207707</v>
      </c>
    </row>
    <row r="16" spans="2:8" x14ac:dyDescent="0.25">
      <c r="B16" s="20" t="str">
        <f>+'County Data'!$B$18</f>
        <v>Deschutes</v>
      </c>
      <c r="C16" s="15">
        <f>VLOOKUP($B16,'County Data'!$B$10:$L$46,2,FALSE)</f>
        <v>197015</v>
      </c>
      <c r="D16" s="29">
        <f>VLOOKUP($B16,'County Data'!$B$10:$L$46,8,FALSE)</f>
        <v>0.27600000000000002</v>
      </c>
      <c r="E16" s="31">
        <f t="shared" si="0"/>
        <v>54376.140000000007</v>
      </c>
      <c r="F16" s="6">
        <f t="shared" si="1"/>
        <v>6.853377189658523E-2</v>
      </c>
      <c r="G16" s="14">
        <f t="shared" si="2"/>
        <v>70132.893240838879</v>
      </c>
      <c r="H16" s="10">
        <f t="shared" si="3"/>
        <v>0.35597742933704984</v>
      </c>
    </row>
    <row r="17" spans="2:8" x14ac:dyDescent="0.25">
      <c r="B17" s="20" t="str">
        <f>+'County Data'!$B$40</f>
        <v>Umatilla</v>
      </c>
      <c r="C17" s="15">
        <f>VLOOKUP($B17,'County Data'!$B$10:$L$46,2,FALSE)</f>
        <v>81495</v>
      </c>
      <c r="D17" s="29">
        <f>VLOOKUP($B17,'County Data'!$B$10:$L$46,8,FALSE)</f>
        <v>0.29099999999999998</v>
      </c>
      <c r="E17" s="31">
        <f t="shared" si="0"/>
        <v>23715.044999999998</v>
      </c>
      <c r="F17" s="6">
        <f t="shared" si="1"/>
        <v>2.9889607547487811E-2</v>
      </c>
      <c r="G17" s="14">
        <f t="shared" si="2"/>
        <v>30587.031723595857</v>
      </c>
      <c r="H17" s="10">
        <f t="shared" si="3"/>
        <v>0.37532402875754167</v>
      </c>
    </row>
    <row r="18" spans="2:8" x14ac:dyDescent="0.25">
      <c r="B18" s="20" t="str">
        <f>+'County Data'!$B$31</f>
        <v>Linn</v>
      </c>
      <c r="C18" s="15">
        <f>VLOOKUP($B18,'County Data'!$B$10:$L$46,2,FALSE)</f>
        <v>127320</v>
      </c>
      <c r="D18" s="29">
        <f>VLOOKUP($B18,'County Data'!$B$10:$L$46,8,FALSE)</f>
        <v>0.316</v>
      </c>
      <c r="E18" s="31">
        <f t="shared" si="0"/>
        <v>40233.120000000003</v>
      </c>
      <c r="F18" s="6">
        <f t="shared" si="1"/>
        <v>5.0708407561992103E-2</v>
      </c>
      <c r="G18" s="14">
        <f t="shared" si="2"/>
        <v>51891.603738438578</v>
      </c>
      <c r="H18" s="10">
        <f t="shared" si="3"/>
        <v>0.40756836112502809</v>
      </c>
    </row>
    <row r="19" spans="2:8" x14ac:dyDescent="0.25">
      <c r="B19" s="20" t="str">
        <f>+'County Data'!$B$27</f>
        <v>Klamath</v>
      </c>
      <c r="C19" s="15">
        <f>VLOOKUP($B19,'County Data'!$B$10:$L$46,2,FALSE)</f>
        <v>68075</v>
      </c>
      <c r="D19" s="29">
        <f>VLOOKUP($B19,'County Data'!$B$10:$L$46,8,FALSE)</f>
        <v>0.376</v>
      </c>
      <c r="E19" s="31">
        <f t="shared" si="0"/>
        <v>25596.2</v>
      </c>
      <c r="F19" s="6">
        <f t="shared" si="1"/>
        <v>3.2260549061028876E-2</v>
      </c>
      <c r="G19" s="14">
        <f t="shared" si="2"/>
        <v>33013.295205786213</v>
      </c>
      <c r="H19" s="10">
        <f t="shared" si="3"/>
        <v>0.4849547588069954</v>
      </c>
    </row>
    <row r="20" spans="2:8" x14ac:dyDescent="0.25">
      <c r="B20" s="20" t="str">
        <f>+'County Data'!$B$30</f>
        <v>Lincoln</v>
      </c>
      <c r="C20" s="15">
        <f>VLOOKUP($B20,'County Data'!$B$10:$L$46,2,FALSE)</f>
        <v>48305</v>
      </c>
      <c r="D20" s="29">
        <f>VLOOKUP($B20,'County Data'!$B$10:$L$46,8,FALSE)</f>
        <v>0.376</v>
      </c>
      <c r="E20" s="31">
        <f t="shared" si="0"/>
        <v>18162.68</v>
      </c>
      <c r="F20" s="6">
        <f t="shared" si="1"/>
        <v>2.289160223860448E-2</v>
      </c>
      <c r="G20" s="14">
        <f t="shared" si="2"/>
        <v>23425.739624171918</v>
      </c>
      <c r="H20" s="10">
        <f t="shared" si="3"/>
        <v>0.48495475880699551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Data'!$B$10:$L$46,8,FALSE)</f>
        <v>0.38400000000000001</v>
      </c>
      <c r="E21" s="31">
        <f t="shared" si="0"/>
        <v>24312.959999999999</v>
      </c>
      <c r="F21" s="6">
        <f t="shared" si="1"/>
        <v>3.0643198556771421E-2</v>
      </c>
      <c r="G21" s="14">
        <f t="shared" si="2"/>
        <v>31358.206523096083</v>
      </c>
      <c r="H21" s="10">
        <f t="shared" si="3"/>
        <v>0.49527294516459108</v>
      </c>
    </row>
    <row r="22" spans="2:8" x14ac:dyDescent="0.25">
      <c r="B22" s="20" t="str">
        <f>+'County Data'!$B$17</f>
        <v>Curry</v>
      </c>
      <c r="C22" s="15">
        <f>VLOOKUP($B22,'County Data'!$B$10:$L$46,2,FALSE)</f>
        <v>23005</v>
      </c>
      <c r="D22" s="29">
        <f>VLOOKUP($B22,'County Data'!$B$10:$L$46,8,FALSE)</f>
        <v>0.38700000000000001</v>
      </c>
      <c r="E22" s="31">
        <f t="shared" si="0"/>
        <v>8902.9349999999995</v>
      </c>
      <c r="F22" s="6">
        <f t="shared" si="1"/>
        <v>1.1220945740174366E-2</v>
      </c>
      <c r="G22" s="14">
        <f t="shared" si="2"/>
        <v>11482.7678074451</v>
      </c>
      <c r="H22" s="10">
        <f t="shared" si="3"/>
        <v>0.49914226504868942</v>
      </c>
    </row>
    <row r="23" spans="2:8" x14ac:dyDescent="0.25">
      <c r="B23" s="20" t="str">
        <f>+'County Data'!$B$13</f>
        <v>Clatsop</v>
      </c>
      <c r="C23" s="15">
        <f>VLOOKUP($B23,'County Data'!$B$10:$L$46,2,FALSE)</f>
        <v>39455</v>
      </c>
      <c r="D23" s="29">
        <f>VLOOKUP($B23,'County Data'!$B$10:$L$46,8,FALSE)</f>
        <v>0.39</v>
      </c>
      <c r="E23" s="31">
        <f t="shared" si="0"/>
        <v>15387.45</v>
      </c>
      <c r="F23" s="6">
        <f t="shared" si="1"/>
        <v>1.9393800081618711E-2</v>
      </c>
      <c r="G23" s="14">
        <f t="shared" si="2"/>
        <v>19846.322083523148</v>
      </c>
      <c r="H23" s="10">
        <f t="shared" si="3"/>
        <v>0.50301158493278797</v>
      </c>
    </row>
    <row r="24" spans="2:8" x14ac:dyDescent="0.25">
      <c r="B24" s="20" t="str">
        <f>+'County Data'!$B$10</f>
        <v>Baker</v>
      </c>
      <c r="C24" s="15">
        <f>VLOOKUP($B24,'County Data'!$B$10:$L$46,2,FALSE)</f>
        <v>16910</v>
      </c>
      <c r="D24" s="29">
        <f>VLOOKUP($B24,'County Data'!$B$10:$L$46,8,FALSE)</f>
        <v>0.41</v>
      </c>
      <c r="E24" s="31">
        <f t="shared" si="0"/>
        <v>6933.0999999999995</v>
      </c>
      <c r="F24" s="6">
        <f t="shared" si="1"/>
        <v>8.7382350776685318E-3</v>
      </c>
      <c r="G24" s="14">
        <f t="shared" si="2"/>
        <v>8942.1272294807968</v>
      </c>
      <c r="H24" s="10">
        <f t="shared" si="3"/>
        <v>0.52880705082677681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Data'!$B$10:$L$46,8,FALSE)</f>
        <v>0.41199999999999998</v>
      </c>
      <c r="E25" s="31">
        <f t="shared" si="0"/>
        <v>46362.36</v>
      </c>
      <c r="F25" s="6">
        <f t="shared" si="1"/>
        <v>5.8433485805122747E-2</v>
      </c>
      <c r="G25" s="14">
        <f t="shared" si="2"/>
        <v>59796.933807242276</v>
      </c>
      <c r="H25" s="10">
        <f t="shared" si="3"/>
        <v>0.53138659741617589</v>
      </c>
    </row>
    <row r="26" spans="2:8" x14ac:dyDescent="0.25">
      <c r="B26" s="20" t="str">
        <f>+'County Data'!$B$36</f>
        <v>Gilliam, Sherman, Wasco</v>
      </c>
      <c r="C26" s="15">
        <f>VLOOKUP($B26,'County Data'!$B$10:$L$46,2,FALSE)</f>
        <v>31080</v>
      </c>
      <c r="D26" s="29">
        <f>VLOOKUP($B26,'County Data'!$B$10:$L$46,8,FALSE)</f>
        <v>0.41499999999999998</v>
      </c>
      <c r="E26" s="31">
        <f t="shared" si="0"/>
        <v>12898.199999999999</v>
      </c>
      <c r="F26" s="6">
        <f t="shared" si="1"/>
        <v>1.6256437045302139E-2</v>
      </c>
      <c r="G26" s="14">
        <f t="shared" si="2"/>
        <v>16635.753909692521</v>
      </c>
      <c r="H26" s="10">
        <f t="shared" si="3"/>
        <v>0.53525591730027422</v>
      </c>
    </row>
    <row r="27" spans="2:8" x14ac:dyDescent="0.25">
      <c r="B27" s="20" t="str">
        <f>+'County Data'!$B$41</f>
        <v>Union</v>
      </c>
      <c r="C27" s="15">
        <f>VLOOKUP($B27,'County Data'!$B$10:$L$46,2,FALSE)</f>
        <v>26840</v>
      </c>
      <c r="D27" s="29">
        <f>VLOOKUP($B27,'County Data'!$B$10:$L$46,8,FALSE)</f>
        <v>0.42099999999999999</v>
      </c>
      <c r="E27" s="31">
        <f t="shared" si="0"/>
        <v>11299.64</v>
      </c>
      <c r="F27" s="6">
        <f t="shared" si="1"/>
        <v>1.4241668317639506E-2</v>
      </c>
      <c r="G27" s="14">
        <f t="shared" si="2"/>
        <v>14573.97391171776</v>
      </c>
      <c r="H27" s="10">
        <f t="shared" si="3"/>
        <v>0.54299455706847088</v>
      </c>
    </row>
    <row r="28" spans="2:8" x14ac:dyDescent="0.25">
      <c r="B28" s="20" t="str">
        <f>+'County Data'!$B$14</f>
        <v>Columbia</v>
      </c>
      <c r="C28" s="15">
        <f>VLOOKUP($B28,'County Data'!$B$10:$L$46,2,FALSE)</f>
        <v>53280</v>
      </c>
      <c r="D28" s="29">
        <f>VLOOKUP($B28,'County Data'!$B$10:$L$46,8,FALSE)</f>
        <v>0.436</v>
      </c>
      <c r="E28" s="31">
        <f t="shared" si="0"/>
        <v>23230.080000000002</v>
      </c>
      <c r="F28" s="6">
        <f t="shared" si="1"/>
        <v>2.9278374740454669E-2</v>
      </c>
      <c r="G28" s="14">
        <f t="shared" si="2"/>
        <v>29961.536817731943</v>
      </c>
      <c r="H28" s="10">
        <f t="shared" si="3"/>
        <v>0.56234115648896288</v>
      </c>
    </row>
    <row r="29" spans="2:8" x14ac:dyDescent="0.25">
      <c r="B29" s="20" t="str">
        <f>+'County Data'!$B$22</f>
        <v>Harney</v>
      </c>
      <c r="C29" s="15">
        <f>VLOOKUP($B29,'County Data'!$B$10:$L$46,2,FALSE)</f>
        <v>7280</v>
      </c>
      <c r="D29" s="29">
        <f>VLOOKUP($B29,'County Data'!$B$10:$L$46,8,FALSE)</f>
        <v>0.443</v>
      </c>
      <c r="E29" s="31">
        <f t="shared" si="0"/>
        <v>3225.04</v>
      </c>
      <c r="F29" s="6">
        <f t="shared" si="1"/>
        <v>4.0647268400692514E-3</v>
      </c>
      <c r="G29" s="14">
        <f t="shared" si="2"/>
        <v>4159.5704663375336</v>
      </c>
      <c r="H29" s="10">
        <f t="shared" si="3"/>
        <v>0.57136956955185902</v>
      </c>
    </row>
    <row r="30" spans="2:8" x14ac:dyDescent="0.25">
      <c r="B30" s="20" t="str">
        <f>+'County Data'!$B$26</f>
        <v>Josephine</v>
      </c>
      <c r="C30" s="15">
        <f>VLOOKUP($B30,'County Data'!$B$10:$L$46,2,FALSE)</f>
        <v>86560</v>
      </c>
      <c r="D30" s="29">
        <f>VLOOKUP($B30,'County Data'!$B$10:$L$46,8,FALSE)</f>
        <v>0.45</v>
      </c>
      <c r="E30" s="31">
        <f t="shared" si="0"/>
        <v>38952</v>
      </c>
      <c r="F30" s="6">
        <f t="shared" si="1"/>
        <v>4.9093729031074805E-2</v>
      </c>
      <c r="G30" s="14">
        <f t="shared" si="2"/>
        <v>50239.249375133215</v>
      </c>
      <c r="H30" s="10">
        <f t="shared" si="3"/>
        <v>0.58039798261475528</v>
      </c>
    </row>
    <row r="31" spans="2:8" x14ac:dyDescent="0.25">
      <c r="B31" s="20" t="str">
        <f>+'County Data'!$B$34</f>
        <v>Morrow</v>
      </c>
      <c r="C31" s="15">
        <f>VLOOKUP($B31,'County Data'!$B$10:$L$46,2,FALSE)</f>
        <v>12825</v>
      </c>
      <c r="D31" s="29">
        <f>VLOOKUP($B31,'County Data'!$B$10:$L$46,8,FALSE)</f>
        <v>0.45900000000000002</v>
      </c>
      <c r="E31" s="31">
        <f t="shared" si="0"/>
        <v>5886.6750000000002</v>
      </c>
      <c r="F31" s="6">
        <f t="shared" si="1"/>
        <v>7.4193578595194666E-3</v>
      </c>
      <c r="G31" s="14">
        <f t="shared" si="2"/>
        <v>7592.4762095749202</v>
      </c>
      <c r="H31" s="10">
        <f t="shared" si="3"/>
        <v>0.59200594226705028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Data'!$B$10:$L$46,8,FALSE)</f>
        <v>0.48</v>
      </c>
      <c r="E32" s="31">
        <f t="shared" si="0"/>
        <v>11251.199999999999</v>
      </c>
      <c r="F32" s="6">
        <f t="shared" si="1"/>
        <v>1.4180616247546435E-2</v>
      </c>
      <c r="G32" s="14">
        <f t="shared" si="2"/>
        <v>14511.497293322516</v>
      </c>
      <c r="H32" s="10">
        <f t="shared" si="3"/>
        <v>0.61909118145573871</v>
      </c>
    </row>
    <row r="33" spans="2:8" x14ac:dyDescent="0.25">
      <c r="B33" s="20" t="str">
        <f>+'County Data'!$B$32</f>
        <v>Malheur</v>
      </c>
      <c r="C33" s="15">
        <f>VLOOKUP($B33,'County Data'!$B$10:$L$46,2,FALSE)</f>
        <v>32105</v>
      </c>
      <c r="D33" s="29">
        <f>VLOOKUP($B33,'County Data'!$B$10:$L$46,8,FALSE)</f>
        <v>0.48399999999999999</v>
      </c>
      <c r="E33" s="31">
        <f t="shared" si="0"/>
        <v>15538.82</v>
      </c>
      <c r="F33" s="6">
        <f t="shared" si="1"/>
        <v>1.9584581498835636E-2</v>
      </c>
      <c r="G33" s="14">
        <f t="shared" si="2"/>
        <v>20041.555067141799</v>
      </c>
      <c r="H33" s="10">
        <f t="shared" si="3"/>
        <v>0.62425027463453664</v>
      </c>
    </row>
    <row r="34" spans="2:8" x14ac:dyDescent="0.25">
      <c r="B34" s="20" t="str">
        <f>+'County Data'!$B$23</f>
        <v>Hood River</v>
      </c>
      <c r="C34" s="15">
        <f>VLOOKUP($B34,'County Data'!$B$10:$L$46,2,FALSE)</f>
        <v>25640</v>
      </c>
      <c r="D34" s="29">
        <f>VLOOKUP($B34,'County Data'!$B$10:$L$46,8,FALSE)</f>
        <v>0.52200000000000002</v>
      </c>
      <c r="E34" s="31">
        <f t="shared" si="0"/>
        <v>13384.08</v>
      </c>
      <c r="F34" s="6">
        <f t="shared" si="1"/>
        <v>1.6868823086111821E-2</v>
      </c>
      <c r="G34" s="14">
        <f t="shared" si="2"/>
        <v>17262.428958121094</v>
      </c>
      <c r="H34" s="10">
        <f t="shared" si="3"/>
        <v>0.67326165983311603</v>
      </c>
    </row>
    <row r="35" spans="2:8" x14ac:dyDescent="0.25">
      <c r="B35" s="20" t="str">
        <f>+'County Data'!$B$25</f>
        <v>Jefferson</v>
      </c>
      <c r="C35" s="15">
        <f>VLOOKUP($B35,'County Data'!$B$10:$L$46,2,FALSE)</f>
        <v>24105</v>
      </c>
      <c r="D35" s="29">
        <f>VLOOKUP($B35,'County Data'!$B$10:$L$46,8,FALSE)</f>
        <v>0.63100000000000001</v>
      </c>
      <c r="E35" s="31">
        <f t="shared" si="0"/>
        <v>15210.255000000001</v>
      </c>
      <c r="F35" s="6">
        <f t="shared" si="1"/>
        <v>1.9170469743878382E-2</v>
      </c>
      <c r="G35" s="14">
        <f t="shared" si="2"/>
        <v>19617.780704568875</v>
      </c>
      <c r="H35" s="10">
        <f t="shared" si="3"/>
        <v>0.81384694895535681</v>
      </c>
    </row>
    <row r="36" spans="2:8" x14ac:dyDescent="0.25">
      <c r="B36" s="20" t="str">
        <f>+'County Data'!$B$28</f>
        <v>Lake</v>
      </c>
      <c r="C36" s="15">
        <f>VLOOKUP($B36,'County Data'!$B$10:$L$46,2,FALSE)</f>
        <v>8075</v>
      </c>
      <c r="D36" s="29">
        <f>VLOOKUP($B36,'County Data'!$B$10:$L$46,8,FALSE)</f>
        <v>0.63300000000000001</v>
      </c>
      <c r="E36" s="31">
        <f t="shared" si="0"/>
        <v>5111.4750000000004</v>
      </c>
      <c r="F36" s="6">
        <f t="shared" si="1"/>
        <v>6.4423230796650513E-3</v>
      </c>
      <c r="G36" s="14">
        <f t="shared" si="2"/>
        <v>6592.6439515239017</v>
      </c>
      <c r="H36" s="10">
        <f t="shared" si="3"/>
        <v>0.81642649554475566</v>
      </c>
    </row>
    <row r="37" spans="2:8" x14ac:dyDescent="0.25">
      <c r="B37" s="20" t="str">
        <f>+'County Data'!$B$39</f>
        <v>Tillamook</v>
      </c>
      <c r="C37" s="15">
        <f>VLOOKUP($B37,'County Data'!$B$10:$L$46,2,FALSE)</f>
        <v>26530</v>
      </c>
      <c r="D37" s="29">
        <f>VLOOKUP($B37,'County Data'!$B$10:$L$46,8,FALSE)</f>
        <v>0.69599999999999995</v>
      </c>
      <c r="E37" s="31">
        <f t="shared" si="0"/>
        <v>18464.879999999997</v>
      </c>
      <c r="F37" s="6">
        <f t="shared" si="1"/>
        <v>2.3272484476055462E-2</v>
      </c>
      <c r="G37" s="14">
        <f t="shared" si="2"/>
        <v>23815.509113830089</v>
      </c>
      <c r="H37" s="10">
        <f t="shared" si="3"/>
        <v>0.8976822131108213</v>
      </c>
    </row>
    <row r="38" spans="2:8" x14ac:dyDescent="0.25">
      <c r="B38" s="20" t="str">
        <f>+'County Data'!$B$21</f>
        <v>Grant</v>
      </c>
      <c r="C38" s="15">
        <f>VLOOKUP($B38,'County Data'!$B$10:$L$46,2,FALSE)</f>
        <v>7315</v>
      </c>
      <c r="D38" s="29">
        <f>VLOOKUP($B38,'County Data'!$B$10:$L$46,8,FALSE)</f>
        <v>1</v>
      </c>
      <c r="E38" s="31">
        <f t="shared" si="0"/>
        <v>7315</v>
      </c>
      <c r="F38" s="6">
        <f t="shared" si="1"/>
        <v>9.2195683883321052E-3</v>
      </c>
      <c r="G38" s="14">
        <f t="shared" si="2"/>
        <v>9434.6916507265196</v>
      </c>
      <c r="H38" s="10">
        <f t="shared" si="3"/>
        <v>1.2897732946994558</v>
      </c>
    </row>
    <row r="39" spans="2:8" x14ac:dyDescent="0.25">
      <c r="B39" s="20" t="str">
        <f>+'County Data'!$B$42</f>
        <v>Wallowa</v>
      </c>
      <c r="C39" s="15">
        <f>VLOOKUP($B39,'County Data'!$B$10:$L$46,2,FALSE)</f>
        <v>7160</v>
      </c>
      <c r="D39" s="29">
        <f>VLOOKUP($B39,'County Data'!$B$10:$L$46,8,FALSE)</f>
        <v>1</v>
      </c>
      <c r="E39" s="31">
        <f t="shared" si="0"/>
        <v>7160</v>
      </c>
      <c r="F39" s="6">
        <f t="shared" si="1"/>
        <v>9.024211846952547E-3</v>
      </c>
      <c r="G39" s="14">
        <f t="shared" si="2"/>
        <v>9234.7767900481049</v>
      </c>
      <c r="H39" s="10">
        <f t="shared" si="3"/>
        <v>1.289773294699456</v>
      </c>
    </row>
    <row r="40" spans="2:8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Data'!$B$10:$L$46,8,FALSE)</f>
        <v>1</v>
      </c>
      <c r="E40" s="31">
        <f t="shared" si="0"/>
        <v>1440</v>
      </c>
      <c r="F40" s="6">
        <f t="shared" si="1"/>
        <v>1.8149252876552607E-3</v>
      </c>
      <c r="G40" s="14">
        <f t="shared" si="2"/>
        <v>1857.2735443672166</v>
      </c>
      <c r="H40" s="10">
        <f t="shared" si="3"/>
        <v>1.289773294699456</v>
      </c>
    </row>
    <row r="41" spans="2:8" x14ac:dyDescent="0.25">
      <c r="B41" s="4" t="s">
        <v>2</v>
      </c>
      <c r="C41" s="5">
        <f>SUM(C7:C40)</f>
        <v>4268055</v>
      </c>
      <c r="D41" s="5">
        <f>SUM(D7:D40)</f>
        <v>14.057999999999998</v>
      </c>
      <c r="E41" s="5">
        <f>SUM(E7:E40)</f>
        <v>793421.08999999973</v>
      </c>
      <c r="F41" s="8">
        <f>SUM(F7:F40)</f>
        <v>1.0000000000000004</v>
      </c>
      <c r="G41" s="11">
        <f>SUM(G7:G40)</f>
        <v>1023333.3333333333</v>
      </c>
      <c r="H41" s="12">
        <f t="shared" ref="H41" si="4">G41/C41</f>
        <v>0.23976573247845523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Christopher J</dc:creator>
  <cp:lastModifiedBy>Luther Lydia M</cp:lastModifiedBy>
  <cp:lastPrinted>2018-05-15T16:28:56Z</cp:lastPrinted>
  <dcterms:created xsi:type="dcterms:W3CDTF">2016-05-10T19:52:04Z</dcterms:created>
  <dcterms:modified xsi:type="dcterms:W3CDTF">2021-06-03T19:14:52Z</dcterms:modified>
</cp:coreProperties>
</file>