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I:\ESF8 Response\2020-0178 Novel Coronavirus 2019-nCoV\400-Finance\700-Contracts Branch\LPHA PE\PE 01 February 2021\"/>
    </mc:Choice>
  </mc:AlternateContent>
  <xr:revisionPtr revIDLastSave="0" documentId="13_ncr:1_{F05A3451-D2F8-451C-8B4A-E5C0A6EB711E}" xr6:coauthVersionLast="45" xr6:coauthVersionMax="45" xr10:uidLastSave="{00000000-0000-0000-0000-000000000000}"/>
  <bookViews>
    <workbookView xWindow="6510" yWindow="-16320" windowWidth="29040" windowHeight="15840" tabRatio="684" activeTab="1" xr2:uid="{00000000-000D-0000-FFFF-FFFF00000000}"/>
  </bookViews>
  <sheets>
    <sheet name="Input" sheetId="13" r:id="rId1"/>
    <sheet name="Summary" sheetId="1" r:id="rId2"/>
    <sheet name="County Data" sheetId="2" r:id="rId3"/>
    <sheet name="Population" sheetId="4" state="hidden" r:id="rId4"/>
    <sheet name="Floor" sheetId="21" state="hidden" r:id="rId5"/>
    <sheet name="Burden" sheetId="14" state="hidden" r:id="rId6"/>
    <sheet name="Health Status" sheetId="15" state="hidden" r:id="rId7"/>
    <sheet name="Ethnicity" sheetId="16" state="hidden" r:id="rId8"/>
    <sheet name="Rurality" sheetId="19" state="hidden" r:id="rId9"/>
    <sheet name="Poverty" sheetId="17" state="hidden" r:id="rId10"/>
    <sheet name="Education" sheetId="20" state="hidden" r:id="rId11"/>
    <sheet name="Language" sheetId="18" state="hidden" r:id="rId12"/>
    <sheet name="Matching" sheetId="8" state="hidden" r:id="rId13"/>
    <sheet name="Incentives" sheetId="9" state="hidden" r:id="rId14"/>
  </sheets>
  <definedNames>
    <definedName name="_xlnm._FilterDatabase" localSheetId="2" hidden="1">'County Data'!#REF!</definedName>
    <definedName name="_xlnm._FilterDatabase" localSheetId="8" hidden="1">Rurality!$B$6:$H$40</definedName>
    <definedName name="_xlnm.Print_Area" localSheetId="2">'County Data'!$A$1:$P$48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9" i="13" l="1"/>
  <c r="C36" i="13"/>
  <c r="H9" i="1" l="1"/>
  <c r="C16" i="13" l="1"/>
  <c r="J7" i="21" l="1"/>
  <c r="C12" i="13"/>
  <c r="J11" i="21" s="1"/>
  <c r="C11" i="13"/>
  <c r="J10" i="21" s="1"/>
  <c r="C10" i="13"/>
  <c r="J9" i="21" s="1"/>
  <c r="C9" i="13"/>
  <c r="J8" i="21" s="1"/>
  <c r="C13" i="13" l="1"/>
  <c r="D16" i="13" s="1"/>
  <c r="C17" i="13"/>
  <c r="D32" i="13" l="1"/>
  <c r="D31" i="13"/>
  <c r="D33" i="13"/>
  <c r="D30" i="13"/>
  <c r="D29" i="13"/>
  <c r="D28" i="13"/>
  <c r="D27" i="13"/>
  <c r="D25" i="13" l="1"/>
  <c r="D41" i="8"/>
  <c r="T4" i="9"/>
  <c r="O4" i="9"/>
  <c r="J4" i="9"/>
  <c r="E4" i="9"/>
  <c r="I7" i="21" l="1"/>
  <c r="B39" i="21"/>
  <c r="C39" i="21" s="1"/>
  <c r="B34" i="21"/>
  <c r="C34" i="21" s="1"/>
  <c r="B17" i="21"/>
  <c r="C17" i="21" l="1"/>
  <c r="C45" i="21" s="1"/>
  <c r="C47" i="2" l="1"/>
  <c r="D11" i="2" l="1"/>
  <c r="D12" i="2"/>
  <c r="D13" i="2"/>
  <c r="D14" i="2"/>
  <c r="D15" i="2"/>
  <c r="D16" i="2"/>
  <c r="D17" i="2"/>
  <c r="D18" i="2"/>
  <c r="D19" i="2"/>
  <c r="D20" i="2"/>
  <c r="D17" i="21" s="1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4" i="21" s="1"/>
  <c r="D39" i="2"/>
  <c r="D40" i="2"/>
  <c r="D41" i="2"/>
  <c r="D42" i="2"/>
  <c r="D43" i="2"/>
  <c r="D39" i="21" s="1"/>
  <c r="D44" i="2"/>
  <c r="D45" i="2"/>
  <c r="D46" i="2"/>
  <c r="D10" i="2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13" i="1"/>
  <c r="C21" i="13"/>
  <c r="I11" i="21" s="1"/>
  <c r="C20" i="13"/>
  <c r="I10" i="21" s="1"/>
  <c r="C19" i="13"/>
  <c r="I9" i="21" s="1"/>
  <c r="C18" i="13"/>
  <c r="I8" i="21" s="1"/>
  <c r="D8" i="2"/>
  <c r="B41" i="21"/>
  <c r="B38" i="21"/>
  <c r="B25" i="21"/>
  <c r="B19" i="21"/>
  <c r="B18" i="21"/>
  <c r="B15" i="21"/>
  <c r="B14" i="21"/>
  <c r="B13" i="21"/>
  <c r="B12" i="21"/>
  <c r="B11" i="21"/>
  <c r="B10" i="21"/>
  <c r="B42" i="21"/>
  <c r="B40" i="21"/>
  <c r="B37" i="21"/>
  <c r="B9" i="21"/>
  <c r="B36" i="21"/>
  <c r="B35" i="21"/>
  <c r="B33" i="21"/>
  <c r="B32" i="21"/>
  <c r="B31" i="21"/>
  <c r="B30" i="21"/>
  <c r="B29" i="21"/>
  <c r="B28" i="21"/>
  <c r="B27" i="21"/>
  <c r="B8" i="21"/>
  <c r="B26" i="21"/>
  <c r="B24" i="21"/>
  <c r="B23" i="21"/>
  <c r="B22" i="21"/>
  <c r="B21" i="21"/>
  <c r="B20" i="21"/>
  <c r="B16" i="21"/>
  <c r="B7" i="21"/>
  <c r="B2" i="2"/>
  <c r="B1" i="2"/>
  <c r="C25" i="13" l="1"/>
  <c r="C43" i="13"/>
  <c r="N8" i="2" s="1"/>
  <c r="C44" i="13"/>
  <c r="O8" i="2" s="1"/>
  <c r="C45" i="13"/>
  <c r="P8" i="2" s="1"/>
  <c r="C42" i="13"/>
  <c r="M8" i="2" s="1"/>
  <c r="D7" i="21"/>
  <c r="C7" i="21"/>
  <c r="D8" i="21"/>
  <c r="C8" i="21"/>
  <c r="C35" i="21"/>
  <c r="D35" i="21"/>
  <c r="D12" i="21"/>
  <c r="C12" i="21"/>
  <c r="D41" i="21"/>
  <c r="C41" i="21"/>
  <c r="C16" i="21"/>
  <c r="D16" i="21"/>
  <c r="C27" i="21"/>
  <c r="D27" i="21"/>
  <c r="C36" i="21"/>
  <c r="D36" i="21"/>
  <c r="C20" i="21"/>
  <c r="D20" i="21"/>
  <c r="C28" i="21"/>
  <c r="D28" i="21"/>
  <c r="D9" i="21"/>
  <c r="C9" i="21"/>
  <c r="C14" i="21"/>
  <c r="D14" i="21"/>
  <c r="C21" i="21"/>
  <c r="D21" i="21"/>
  <c r="C29" i="21"/>
  <c r="D29" i="21"/>
  <c r="D37" i="21"/>
  <c r="C37" i="21"/>
  <c r="C15" i="21"/>
  <c r="D15" i="21"/>
  <c r="D22" i="21"/>
  <c r="C22" i="21"/>
  <c r="D30" i="21"/>
  <c r="C30" i="21"/>
  <c r="C40" i="21"/>
  <c r="D40" i="21"/>
  <c r="D18" i="21"/>
  <c r="C18" i="21"/>
  <c r="C23" i="21"/>
  <c r="D23" i="21"/>
  <c r="C31" i="21"/>
  <c r="D31" i="21"/>
  <c r="C42" i="21"/>
  <c r="D42" i="21"/>
  <c r="C19" i="21"/>
  <c r="D19" i="21"/>
  <c r="C24" i="21"/>
  <c r="D24" i="21"/>
  <c r="C32" i="21"/>
  <c r="D32" i="21"/>
  <c r="C10" i="21"/>
  <c r="D10" i="21"/>
  <c r="C25" i="21"/>
  <c r="D25" i="21"/>
  <c r="D26" i="21"/>
  <c r="C26" i="21"/>
  <c r="D33" i="21"/>
  <c r="C33" i="21"/>
  <c r="C11" i="21"/>
  <c r="D11" i="21"/>
  <c r="C38" i="21"/>
  <c r="D38" i="21"/>
  <c r="C13" i="21"/>
  <c r="D13" i="21"/>
  <c r="C28" i="13" l="1"/>
  <c r="C27" i="13"/>
  <c r="C32" i="13"/>
  <c r="C31" i="13"/>
  <c r="C33" i="13"/>
  <c r="C29" i="13"/>
  <c r="C26" i="13"/>
  <c r="C30" i="13"/>
  <c r="C43" i="21"/>
  <c r="D43" i="21" l="1"/>
  <c r="B7" i="9" l="1"/>
  <c r="B8" i="9"/>
  <c r="B11" i="9"/>
  <c r="B9" i="9"/>
  <c r="B10" i="9"/>
  <c r="B34" i="9"/>
  <c r="B16" i="9"/>
  <c r="B14" i="9"/>
  <c r="B25" i="9"/>
  <c r="B24" i="9"/>
  <c r="B22" i="9"/>
  <c r="B31" i="9"/>
  <c r="B39" i="9"/>
  <c r="B19" i="9"/>
  <c r="B38" i="9"/>
  <c r="B28" i="9"/>
  <c r="B18" i="9"/>
  <c r="B27" i="9"/>
  <c r="B20" i="9"/>
  <c r="B40" i="9"/>
  <c r="B12" i="9"/>
  <c r="B36" i="9"/>
  <c r="B21" i="9"/>
  <c r="B33" i="9"/>
  <c r="B23" i="9"/>
  <c r="B30" i="9"/>
  <c r="B37" i="9"/>
  <c r="B26" i="9"/>
  <c r="B29" i="9"/>
  <c r="B15" i="9"/>
  <c r="B35" i="9"/>
  <c r="B17" i="9"/>
  <c r="B32" i="9"/>
  <c r="B13" i="9"/>
  <c r="B7" i="8"/>
  <c r="E7" i="8" s="1"/>
  <c r="F7" i="8" s="1"/>
  <c r="B8" i="8"/>
  <c r="E8" i="8" s="1"/>
  <c r="B11" i="8"/>
  <c r="E11" i="8" s="1"/>
  <c r="B9" i="8"/>
  <c r="E9" i="8" s="1"/>
  <c r="B10" i="8"/>
  <c r="E10" i="8" s="1"/>
  <c r="B34" i="8"/>
  <c r="E34" i="8" s="1"/>
  <c r="B15" i="8"/>
  <c r="B14" i="8"/>
  <c r="B25" i="8"/>
  <c r="B24" i="8"/>
  <c r="E24" i="8" s="1"/>
  <c r="B22" i="8"/>
  <c r="E22" i="8" s="1"/>
  <c r="B31" i="8"/>
  <c r="E31" i="8" s="1"/>
  <c r="B39" i="8"/>
  <c r="B19" i="8"/>
  <c r="B38" i="8"/>
  <c r="E38" i="8" s="1"/>
  <c r="B27" i="8"/>
  <c r="B18" i="8"/>
  <c r="E18" i="8" s="1"/>
  <c r="B28" i="8"/>
  <c r="E28" i="8" s="1"/>
  <c r="B20" i="8"/>
  <c r="B40" i="8"/>
  <c r="E40" i="8" s="1"/>
  <c r="B12" i="8"/>
  <c r="B36" i="8"/>
  <c r="B21" i="8"/>
  <c r="B33" i="8"/>
  <c r="B23" i="8"/>
  <c r="E23" i="8" s="1"/>
  <c r="B30" i="8"/>
  <c r="E30" i="8" s="1"/>
  <c r="B37" i="8"/>
  <c r="B26" i="8"/>
  <c r="E26" i="8" s="1"/>
  <c r="B29" i="8"/>
  <c r="E29" i="8" s="1"/>
  <c r="B16" i="8"/>
  <c r="B35" i="8"/>
  <c r="B17" i="8"/>
  <c r="B32" i="8"/>
  <c r="E32" i="8" s="1"/>
  <c r="B13" i="8"/>
  <c r="E13" i="8" s="1"/>
  <c r="B7" i="18"/>
  <c r="B9" i="18"/>
  <c r="C9" i="18" s="1"/>
  <c r="B22" i="18"/>
  <c r="C22" i="18" s="1"/>
  <c r="B18" i="18"/>
  <c r="B10" i="18"/>
  <c r="C10" i="18" s="1"/>
  <c r="B19" i="18"/>
  <c r="C19" i="18" s="1"/>
  <c r="B13" i="18"/>
  <c r="C13" i="18" s="1"/>
  <c r="B8" i="18"/>
  <c r="C8" i="18" s="1"/>
  <c r="B17" i="18"/>
  <c r="C17" i="18" s="1"/>
  <c r="B15" i="18"/>
  <c r="C15" i="18" s="1"/>
  <c r="B24" i="18"/>
  <c r="B32" i="18"/>
  <c r="B36" i="18"/>
  <c r="C36" i="18" s="1"/>
  <c r="B16" i="18"/>
  <c r="B29" i="18"/>
  <c r="C29" i="18" s="1"/>
  <c r="B37" i="18"/>
  <c r="C37" i="18" s="1"/>
  <c r="B21" i="18"/>
  <c r="C21" i="18" s="1"/>
  <c r="B30" i="18"/>
  <c r="C30" i="18" s="1"/>
  <c r="B33" i="18"/>
  <c r="C33" i="18" s="1"/>
  <c r="B34" i="18"/>
  <c r="C34" i="18" s="1"/>
  <c r="B40" i="18"/>
  <c r="B38" i="18"/>
  <c r="C38" i="18" s="1"/>
  <c r="B35" i="18"/>
  <c r="C35" i="18" s="1"/>
  <c r="B20" i="18"/>
  <c r="C20" i="18" s="1"/>
  <c r="B26" i="18"/>
  <c r="C26" i="18" s="1"/>
  <c r="B28" i="18"/>
  <c r="C28" i="18" s="1"/>
  <c r="B23" i="18"/>
  <c r="B25" i="18"/>
  <c r="C25" i="18" s="1"/>
  <c r="B14" i="18"/>
  <c r="B31" i="18"/>
  <c r="B27" i="18"/>
  <c r="C27" i="18" s="1"/>
  <c r="B39" i="18"/>
  <c r="B12" i="18"/>
  <c r="C12" i="18" s="1"/>
  <c r="B11" i="18"/>
  <c r="C11" i="18" s="1"/>
  <c r="B13" i="20"/>
  <c r="B9" i="20"/>
  <c r="B35" i="20"/>
  <c r="C35" i="20" s="1"/>
  <c r="B24" i="20"/>
  <c r="C24" i="20" s="1"/>
  <c r="B23" i="20"/>
  <c r="C23" i="20" s="1"/>
  <c r="B10" i="20"/>
  <c r="C10" i="20" s="1"/>
  <c r="B21" i="20"/>
  <c r="B32" i="20"/>
  <c r="C32" i="20" s="1"/>
  <c r="B28" i="20"/>
  <c r="B19" i="20"/>
  <c r="C19" i="20" s="1"/>
  <c r="B12" i="20"/>
  <c r="B30" i="20"/>
  <c r="B16" i="20"/>
  <c r="C16" i="20" s="1"/>
  <c r="B11" i="20"/>
  <c r="B8" i="20"/>
  <c r="B37" i="20"/>
  <c r="C37" i="20" s="1"/>
  <c r="B20" i="20"/>
  <c r="C20" i="20" s="1"/>
  <c r="B15" i="20"/>
  <c r="C15" i="20" s="1"/>
  <c r="B33" i="20"/>
  <c r="C33" i="20" s="1"/>
  <c r="B17" i="20"/>
  <c r="C17" i="20" s="1"/>
  <c r="B40" i="20"/>
  <c r="B34" i="20"/>
  <c r="C34" i="20" s="1"/>
  <c r="B39" i="20"/>
  <c r="C39" i="20" s="1"/>
  <c r="B22" i="20"/>
  <c r="C22" i="20" s="1"/>
  <c r="B25" i="20"/>
  <c r="C25" i="20" s="1"/>
  <c r="B7" i="20"/>
  <c r="C7" i="20" s="1"/>
  <c r="B14" i="20"/>
  <c r="C14" i="20" s="1"/>
  <c r="B31" i="20"/>
  <c r="C31" i="20" s="1"/>
  <c r="B29" i="20"/>
  <c r="C29" i="20" s="1"/>
  <c r="B36" i="20"/>
  <c r="B27" i="20"/>
  <c r="C27" i="20" s="1"/>
  <c r="B38" i="20"/>
  <c r="C38" i="20" s="1"/>
  <c r="B26" i="20"/>
  <c r="B18" i="20"/>
  <c r="C18" i="20" s="1"/>
  <c r="B40" i="19"/>
  <c r="B39" i="19"/>
  <c r="B36" i="19"/>
  <c r="B29" i="19"/>
  <c r="B38" i="19"/>
  <c r="B16" i="19"/>
  <c r="B22" i="19"/>
  <c r="B32" i="19"/>
  <c r="B21" i="19"/>
  <c r="B28" i="19"/>
  <c r="B23" i="19"/>
  <c r="B15" i="19"/>
  <c r="B8" i="19"/>
  <c r="B27" i="19"/>
  <c r="B11" i="19"/>
  <c r="B17" i="19"/>
  <c r="B37" i="19"/>
  <c r="B13" i="19"/>
  <c r="B26" i="19"/>
  <c r="B7" i="19"/>
  <c r="B31" i="19"/>
  <c r="B9" i="19"/>
  <c r="B33" i="19"/>
  <c r="B18" i="19"/>
  <c r="B20" i="19"/>
  <c r="B12" i="19"/>
  <c r="B10" i="19"/>
  <c r="B19" i="19"/>
  <c r="B30" i="19"/>
  <c r="B35" i="19"/>
  <c r="B14" i="19"/>
  <c r="B34" i="19"/>
  <c r="B25" i="19"/>
  <c r="B24" i="19"/>
  <c r="B36" i="17"/>
  <c r="C36" i="17" s="1"/>
  <c r="B15" i="17"/>
  <c r="C15" i="17" s="1"/>
  <c r="B38" i="17"/>
  <c r="C38" i="17" s="1"/>
  <c r="B23" i="17"/>
  <c r="C23" i="17" s="1"/>
  <c r="B24" i="17"/>
  <c r="C24" i="17" s="1"/>
  <c r="B9" i="17"/>
  <c r="C9" i="17" s="1"/>
  <c r="B21" i="17"/>
  <c r="C21" i="17" s="1"/>
  <c r="B32" i="17"/>
  <c r="C32" i="17" s="1"/>
  <c r="B34" i="17"/>
  <c r="C34" i="17" s="1"/>
  <c r="B10" i="17"/>
  <c r="C10" i="17" s="1"/>
  <c r="B16" i="17"/>
  <c r="C16" i="17" s="1"/>
  <c r="B13" i="17"/>
  <c r="C13" i="17" s="1"/>
  <c r="B8" i="17"/>
  <c r="C8" i="17" s="1"/>
  <c r="B37" i="17"/>
  <c r="C37" i="17" s="1"/>
  <c r="B7" i="17"/>
  <c r="C7" i="17" s="1"/>
  <c r="B28" i="17"/>
  <c r="C28" i="17" s="1"/>
  <c r="B19" i="17"/>
  <c r="C19" i="17" s="1"/>
  <c r="B11" i="17"/>
  <c r="C11" i="17" s="1"/>
  <c r="B17" i="17"/>
  <c r="B14" i="17"/>
  <c r="C14" i="17" s="1"/>
  <c r="B18" i="17"/>
  <c r="C18" i="17" s="1"/>
  <c r="B27" i="17"/>
  <c r="C27" i="17" s="1"/>
  <c r="B40" i="17"/>
  <c r="C40" i="17" s="1"/>
  <c r="B22" i="17"/>
  <c r="C22" i="17" s="1"/>
  <c r="B29" i="17"/>
  <c r="C29" i="17" s="1"/>
  <c r="B30" i="17"/>
  <c r="C30" i="17" s="1"/>
  <c r="B31" i="17"/>
  <c r="C31" i="17" s="1"/>
  <c r="B35" i="17"/>
  <c r="C35" i="17" s="1"/>
  <c r="B39" i="17"/>
  <c r="C39" i="17" s="1"/>
  <c r="B33" i="17"/>
  <c r="C33" i="17" s="1"/>
  <c r="B26" i="17"/>
  <c r="C26" i="17" s="1"/>
  <c r="B12" i="17"/>
  <c r="C12" i="17" s="1"/>
  <c r="B25" i="17"/>
  <c r="C25" i="17" s="1"/>
  <c r="B20" i="17"/>
  <c r="C20" i="17" s="1"/>
  <c r="B7" i="16"/>
  <c r="C7" i="16" s="1"/>
  <c r="B8" i="16"/>
  <c r="C8" i="16" s="1"/>
  <c r="B22" i="16"/>
  <c r="B18" i="16"/>
  <c r="C18" i="16" s="1"/>
  <c r="B9" i="16"/>
  <c r="C9" i="16" s="1"/>
  <c r="B15" i="16"/>
  <c r="C15" i="16" s="1"/>
  <c r="B17" i="16"/>
  <c r="B14" i="16"/>
  <c r="B21" i="16"/>
  <c r="C21" i="16" s="1"/>
  <c r="B12" i="16"/>
  <c r="C12" i="16" s="1"/>
  <c r="B19" i="16"/>
  <c r="C19" i="16" s="1"/>
  <c r="B31" i="16"/>
  <c r="C31" i="16" s="1"/>
  <c r="B34" i="16"/>
  <c r="B11" i="16"/>
  <c r="C11" i="16" s="1"/>
  <c r="B24" i="16"/>
  <c r="C24" i="16" s="1"/>
  <c r="B35" i="16"/>
  <c r="C35" i="16" s="1"/>
  <c r="B23" i="16"/>
  <c r="C23" i="16" s="1"/>
  <c r="B30" i="16"/>
  <c r="C30" i="16" s="1"/>
  <c r="B32" i="16"/>
  <c r="B33" i="16"/>
  <c r="B39" i="16"/>
  <c r="B36" i="16"/>
  <c r="C36" i="16" s="1"/>
  <c r="B38" i="16"/>
  <c r="C38" i="16" s="1"/>
  <c r="B20" i="16"/>
  <c r="C20" i="16" s="1"/>
  <c r="B26" i="16"/>
  <c r="C26" i="16" s="1"/>
  <c r="B28" i="16"/>
  <c r="C28" i="16" s="1"/>
  <c r="B25" i="16"/>
  <c r="B29" i="16"/>
  <c r="C29" i="16" s="1"/>
  <c r="B16" i="16"/>
  <c r="C16" i="16" s="1"/>
  <c r="B40" i="16"/>
  <c r="C40" i="16" s="1"/>
  <c r="B27" i="16"/>
  <c r="C27" i="16" s="1"/>
  <c r="B37" i="16"/>
  <c r="C37" i="16" s="1"/>
  <c r="B13" i="16"/>
  <c r="C13" i="16" s="1"/>
  <c r="B10" i="16"/>
  <c r="C10" i="16" s="1"/>
  <c r="B40" i="15"/>
  <c r="D40" i="15" s="1"/>
  <c r="B8" i="15"/>
  <c r="D8" i="15" s="1"/>
  <c r="B9" i="15"/>
  <c r="B38" i="15"/>
  <c r="B20" i="15"/>
  <c r="D20" i="15" s="1"/>
  <c r="B7" i="15"/>
  <c r="D7" i="15" s="1"/>
  <c r="B35" i="15"/>
  <c r="D35" i="15" s="1"/>
  <c r="B36" i="15"/>
  <c r="D36" i="15" s="1"/>
  <c r="B32" i="15"/>
  <c r="D32" i="15" s="1"/>
  <c r="B26" i="15"/>
  <c r="B16" i="15"/>
  <c r="B24" i="15"/>
  <c r="B10" i="15"/>
  <c r="B13" i="15"/>
  <c r="B15" i="15"/>
  <c r="D15" i="15" s="1"/>
  <c r="B33" i="15"/>
  <c r="B27" i="15"/>
  <c r="B14" i="15"/>
  <c r="B17" i="15"/>
  <c r="D17" i="15" s="1"/>
  <c r="B19" i="15"/>
  <c r="D19" i="15" s="1"/>
  <c r="B37" i="15"/>
  <c r="B28" i="15"/>
  <c r="B39" i="15"/>
  <c r="B22" i="15"/>
  <c r="B30" i="15"/>
  <c r="D30" i="15" s="1"/>
  <c r="B12" i="15"/>
  <c r="D12" i="15" s="1"/>
  <c r="B18" i="15"/>
  <c r="B31" i="15"/>
  <c r="B25" i="15"/>
  <c r="B23" i="15"/>
  <c r="D23" i="15" s="1"/>
  <c r="B21" i="15"/>
  <c r="D21" i="15" s="1"/>
  <c r="B29" i="15"/>
  <c r="D29" i="15" s="1"/>
  <c r="B34" i="15"/>
  <c r="D34" i="15" s="1"/>
  <c r="B11" i="15"/>
  <c r="D11" i="15" s="1"/>
  <c r="B16" i="4"/>
  <c r="C16" i="4" s="1"/>
  <c r="B13" i="14"/>
  <c r="C13" i="14" s="1"/>
  <c r="B16" i="14"/>
  <c r="B8" i="14"/>
  <c r="B27" i="14"/>
  <c r="C27" i="14" s="1"/>
  <c r="B20" i="14"/>
  <c r="B23" i="14"/>
  <c r="B28" i="14"/>
  <c r="C28" i="14" s="1"/>
  <c r="B11" i="14"/>
  <c r="B30" i="14"/>
  <c r="C30" i="14" s="1"/>
  <c r="B18" i="14"/>
  <c r="C18" i="14" s="1"/>
  <c r="B15" i="14"/>
  <c r="B17" i="14"/>
  <c r="B21" i="14"/>
  <c r="C21" i="14" s="1"/>
  <c r="B22" i="14"/>
  <c r="B37" i="14"/>
  <c r="C37" i="14" s="1"/>
  <c r="B19" i="14"/>
  <c r="B29" i="14"/>
  <c r="B35" i="14"/>
  <c r="C35" i="14" s="1"/>
  <c r="B33" i="14"/>
  <c r="C33" i="14" s="1"/>
  <c r="B38" i="14"/>
  <c r="C38" i="14" s="1"/>
  <c r="B24" i="14"/>
  <c r="B9" i="14"/>
  <c r="C9" i="14" s="1"/>
  <c r="B39" i="14"/>
  <c r="C39" i="14" s="1"/>
  <c r="B14" i="14"/>
  <c r="B34" i="14"/>
  <c r="B12" i="14"/>
  <c r="B40" i="14"/>
  <c r="B25" i="14"/>
  <c r="B36" i="14"/>
  <c r="C36" i="14" s="1"/>
  <c r="B26" i="14"/>
  <c r="B32" i="14"/>
  <c r="C32" i="14" s="1"/>
  <c r="B10" i="14"/>
  <c r="B7" i="14"/>
  <c r="B31" i="14"/>
  <c r="B21" i="4"/>
  <c r="C21" i="4" s="1"/>
  <c r="B28" i="4"/>
  <c r="C28" i="4" s="1"/>
  <c r="B26" i="4"/>
  <c r="C26" i="4" s="1"/>
  <c r="B14" i="4"/>
  <c r="C14" i="4" s="1"/>
  <c r="B19" i="4"/>
  <c r="C19" i="4" s="1"/>
  <c r="B10" i="4"/>
  <c r="C10" i="4" s="1"/>
  <c r="B35" i="4"/>
  <c r="C35" i="4" s="1"/>
  <c r="B17" i="4"/>
  <c r="C17" i="4" s="1"/>
  <c r="B8" i="4"/>
  <c r="C8" i="4" s="1"/>
  <c r="B29" i="4"/>
  <c r="C29" i="4" s="1"/>
  <c r="B15" i="4"/>
  <c r="C15" i="4" s="1"/>
  <c r="B12" i="4"/>
  <c r="C12" i="4" s="1"/>
  <c r="B25" i="4"/>
  <c r="C25" i="4" s="1"/>
  <c r="B23" i="4"/>
  <c r="C23" i="4" s="1"/>
  <c r="B13" i="4"/>
  <c r="C13" i="4" s="1"/>
  <c r="B32" i="4"/>
  <c r="C32" i="4" s="1"/>
  <c r="B31" i="4"/>
  <c r="C31" i="4" s="1"/>
  <c r="B30" i="4"/>
  <c r="C30" i="4" s="1"/>
  <c r="B18" i="4"/>
  <c r="C18" i="4" s="1"/>
  <c r="B22" i="4"/>
  <c r="C22" i="4" s="1"/>
  <c r="B27" i="4"/>
  <c r="C27" i="4" s="1"/>
  <c r="B24" i="4"/>
  <c r="C24" i="4" s="1"/>
  <c r="B9" i="4"/>
  <c r="C9" i="4" s="1"/>
  <c r="B34" i="4"/>
  <c r="C34" i="4" s="1"/>
  <c r="B11" i="4"/>
  <c r="C11" i="4" s="1"/>
  <c r="B33" i="4"/>
  <c r="C33" i="4" s="1"/>
  <c r="B7" i="4"/>
  <c r="C7" i="4" s="1"/>
  <c r="B20" i="4"/>
  <c r="C20" i="4" s="1"/>
  <c r="B38" i="4"/>
  <c r="C38" i="4" s="1"/>
  <c r="B36" i="4"/>
  <c r="C36" i="4" s="1"/>
  <c r="B37" i="4"/>
  <c r="C37" i="4" s="1"/>
  <c r="B39" i="4"/>
  <c r="C39" i="4" s="1"/>
  <c r="B40" i="4"/>
  <c r="C40" i="4" s="1"/>
  <c r="D10" i="18"/>
  <c r="D11" i="18"/>
  <c r="J8" i="2"/>
  <c r="I8" i="2"/>
  <c r="L8" i="2"/>
  <c r="K8" i="2"/>
  <c r="H8" i="2"/>
  <c r="G8" i="2"/>
  <c r="F8" i="2"/>
  <c r="C5" i="2"/>
  <c r="E8" i="2"/>
  <c r="C8" i="2"/>
  <c r="E9" i="2" l="1"/>
  <c r="C28" i="15"/>
  <c r="D28" i="15"/>
  <c r="C14" i="15"/>
  <c r="D14" i="15"/>
  <c r="C13" i="15"/>
  <c r="D13" i="15"/>
  <c r="C26" i="15"/>
  <c r="D26" i="15"/>
  <c r="C25" i="15"/>
  <c r="D25" i="15"/>
  <c r="C37" i="15"/>
  <c r="D37" i="15"/>
  <c r="E37" i="15" s="1"/>
  <c r="C27" i="15"/>
  <c r="D27" i="15"/>
  <c r="C10" i="15"/>
  <c r="D10" i="15"/>
  <c r="C31" i="15"/>
  <c r="D31" i="15"/>
  <c r="C22" i="15"/>
  <c r="D22" i="15"/>
  <c r="C33" i="15"/>
  <c r="D33" i="15"/>
  <c r="C24" i="15"/>
  <c r="D24" i="15"/>
  <c r="C38" i="15"/>
  <c r="D38" i="15"/>
  <c r="C18" i="15"/>
  <c r="D18" i="15"/>
  <c r="C39" i="15"/>
  <c r="D39" i="15"/>
  <c r="C16" i="15"/>
  <c r="D16" i="15"/>
  <c r="C9" i="15"/>
  <c r="D9" i="15"/>
  <c r="H7" i="8"/>
  <c r="G7" i="8"/>
  <c r="E17" i="8"/>
  <c r="F17" i="8" s="1"/>
  <c r="E35" i="8"/>
  <c r="F35" i="8" s="1"/>
  <c r="E37" i="8"/>
  <c r="F37" i="8" s="1"/>
  <c r="E21" i="8"/>
  <c r="F21" i="8" s="1"/>
  <c r="E20" i="8"/>
  <c r="F20" i="8" s="1"/>
  <c r="E15" i="8"/>
  <c r="F15" i="8" s="1"/>
  <c r="E33" i="8"/>
  <c r="F33" i="8" s="1"/>
  <c r="E16" i="8"/>
  <c r="F16" i="8" s="1"/>
  <c r="E36" i="8"/>
  <c r="F36" i="8" s="1"/>
  <c r="E19" i="8"/>
  <c r="F19" i="8" s="1"/>
  <c r="E27" i="8"/>
  <c r="F27" i="8" s="1"/>
  <c r="E14" i="8"/>
  <c r="F14" i="8" s="1"/>
  <c r="E12" i="8"/>
  <c r="F12" i="8" s="1"/>
  <c r="E39" i="8"/>
  <c r="F39" i="8" s="1"/>
  <c r="E25" i="8"/>
  <c r="F25" i="8" s="1"/>
  <c r="C7" i="8"/>
  <c r="D24" i="17"/>
  <c r="F8" i="8"/>
  <c r="G8" i="8" s="1"/>
  <c r="C31" i="8"/>
  <c r="F31" i="8"/>
  <c r="C22" i="8"/>
  <c r="F22" i="8"/>
  <c r="C23" i="8"/>
  <c r="F23" i="8"/>
  <c r="D40" i="16"/>
  <c r="E40" i="16" s="1"/>
  <c r="C38" i="8"/>
  <c r="F38" i="8"/>
  <c r="C40" i="8"/>
  <c r="F40" i="8"/>
  <c r="C13" i="8"/>
  <c r="F13" i="8"/>
  <c r="C24" i="8"/>
  <c r="F24" i="8"/>
  <c r="C34" i="8"/>
  <c r="F34" i="8"/>
  <c r="C26" i="8"/>
  <c r="F26" i="8"/>
  <c r="C9" i="8"/>
  <c r="F9" i="8"/>
  <c r="C11" i="8"/>
  <c r="F11" i="8"/>
  <c r="C30" i="8"/>
  <c r="F30" i="8"/>
  <c r="C28" i="8"/>
  <c r="F28" i="8"/>
  <c r="C32" i="8"/>
  <c r="F32" i="8"/>
  <c r="C18" i="8"/>
  <c r="F18" i="8"/>
  <c r="C29" i="8"/>
  <c r="F29" i="8"/>
  <c r="C10" i="8"/>
  <c r="F10" i="8"/>
  <c r="D18" i="20"/>
  <c r="E18" i="20" s="1"/>
  <c r="D16" i="16"/>
  <c r="E16" i="16" s="1"/>
  <c r="D35" i="20"/>
  <c r="E35" i="20" s="1"/>
  <c r="D29" i="17"/>
  <c r="E29" i="17" s="1"/>
  <c r="D19" i="17"/>
  <c r="E19" i="17" s="1"/>
  <c r="E14" i="15"/>
  <c r="D24" i="20"/>
  <c r="E24" i="20" s="1"/>
  <c r="D39" i="14"/>
  <c r="E39" i="14" s="1"/>
  <c r="C15" i="9"/>
  <c r="N15" i="9"/>
  <c r="O15" i="9" s="1"/>
  <c r="I15" i="9"/>
  <c r="J15" i="9" s="1"/>
  <c r="D15" i="9"/>
  <c r="S15" i="9"/>
  <c r="T15" i="9" s="1"/>
  <c r="C19" i="9"/>
  <c r="D19" i="9"/>
  <c r="S19" i="9"/>
  <c r="T19" i="9" s="1"/>
  <c r="N19" i="9"/>
  <c r="O19" i="9" s="1"/>
  <c r="I19" i="9"/>
  <c r="J19" i="9" s="1"/>
  <c r="C29" i="9"/>
  <c r="I29" i="9"/>
  <c r="J29" i="9" s="1"/>
  <c r="D29" i="9"/>
  <c r="S29" i="9"/>
  <c r="T29" i="9" s="1"/>
  <c r="N29" i="9"/>
  <c r="O29" i="9" s="1"/>
  <c r="C39" i="9"/>
  <c r="N39" i="9"/>
  <c r="O39" i="9" s="1"/>
  <c r="I39" i="9"/>
  <c r="J39" i="9" s="1"/>
  <c r="D39" i="9"/>
  <c r="S39" i="9"/>
  <c r="T39" i="9" s="1"/>
  <c r="D32" i="14"/>
  <c r="E32" i="14" s="1"/>
  <c r="C40" i="9"/>
  <c r="S40" i="9"/>
  <c r="T40" i="9" s="1"/>
  <c r="N40" i="9"/>
  <c r="O40" i="9" s="1"/>
  <c r="I40" i="9"/>
  <c r="J40" i="9" s="1"/>
  <c r="D40" i="9"/>
  <c r="C9" i="9"/>
  <c r="S9" i="9"/>
  <c r="T9" i="9" s="1"/>
  <c r="I9" i="9"/>
  <c r="J9" i="9" s="1"/>
  <c r="N9" i="9"/>
  <c r="O9" i="9" s="1"/>
  <c r="D9" i="9"/>
  <c r="M9" i="2"/>
  <c r="N9" i="2"/>
  <c r="O9" i="2"/>
  <c r="D37" i="14"/>
  <c r="E37" i="14" s="1"/>
  <c r="C37" i="9"/>
  <c r="I37" i="9"/>
  <c r="J37" i="9" s="1"/>
  <c r="S37" i="9"/>
  <c r="T37" i="9" s="1"/>
  <c r="D37" i="9"/>
  <c r="N37" i="9"/>
  <c r="O37" i="9" s="1"/>
  <c r="C20" i="9"/>
  <c r="I20" i="9"/>
  <c r="J20" i="9" s="1"/>
  <c r="S20" i="9"/>
  <c r="T20" i="9" s="1"/>
  <c r="D20" i="9"/>
  <c r="N20" i="9"/>
  <c r="O20" i="9" s="1"/>
  <c r="C22" i="9"/>
  <c r="N22" i="9"/>
  <c r="O22" i="9" s="1"/>
  <c r="I22" i="9"/>
  <c r="J22" i="9" s="1"/>
  <c r="D22" i="9"/>
  <c r="S22" i="9"/>
  <c r="T22" i="9" s="1"/>
  <c r="C11" i="9"/>
  <c r="D11" i="9"/>
  <c r="S11" i="9"/>
  <c r="T11" i="9" s="1"/>
  <c r="N11" i="9"/>
  <c r="O11" i="9" s="1"/>
  <c r="I11" i="9"/>
  <c r="J11" i="9" s="1"/>
  <c r="C36" i="9"/>
  <c r="I36" i="9"/>
  <c r="J36" i="9" s="1"/>
  <c r="S36" i="9"/>
  <c r="T36" i="9" s="1"/>
  <c r="D36" i="9"/>
  <c r="N36" i="9"/>
  <c r="O36" i="9" s="1"/>
  <c r="C34" i="9"/>
  <c r="D34" i="9"/>
  <c r="N34" i="9"/>
  <c r="O34" i="9" s="1"/>
  <c r="S34" i="9"/>
  <c r="T34" i="9" s="1"/>
  <c r="I34" i="9"/>
  <c r="J34" i="9" s="1"/>
  <c r="D7" i="17"/>
  <c r="E7" i="17" s="1"/>
  <c r="C12" i="9"/>
  <c r="I12" i="9"/>
  <c r="J12" i="9" s="1"/>
  <c r="D12" i="9"/>
  <c r="S12" i="9"/>
  <c r="T12" i="9" s="1"/>
  <c r="N12" i="9"/>
  <c r="O12" i="9" s="1"/>
  <c r="C10" i="9"/>
  <c r="D10" i="9"/>
  <c r="S10" i="9"/>
  <c r="T10" i="9" s="1"/>
  <c r="N10" i="9"/>
  <c r="O10" i="9" s="1"/>
  <c r="I10" i="9"/>
  <c r="J10" i="9" s="1"/>
  <c r="C26" i="9"/>
  <c r="D26" i="9"/>
  <c r="S26" i="9"/>
  <c r="T26" i="9" s="1"/>
  <c r="N26" i="9"/>
  <c r="O26" i="9" s="1"/>
  <c r="I26" i="9"/>
  <c r="J26" i="9" s="1"/>
  <c r="C31" i="9"/>
  <c r="N31" i="9"/>
  <c r="O31" i="9" s="1"/>
  <c r="I31" i="9"/>
  <c r="J31" i="9" s="1"/>
  <c r="S31" i="9"/>
  <c r="T31" i="9" s="1"/>
  <c r="D31" i="9"/>
  <c r="D14" i="20"/>
  <c r="E14" i="20" s="1"/>
  <c r="C13" i="9"/>
  <c r="I13" i="9"/>
  <c r="J13" i="9" s="1"/>
  <c r="D13" i="9"/>
  <c r="S13" i="9"/>
  <c r="T13" i="9" s="1"/>
  <c r="N13" i="9"/>
  <c r="O13" i="9" s="1"/>
  <c r="C30" i="9"/>
  <c r="N30" i="9"/>
  <c r="O30" i="9" s="1"/>
  <c r="D30" i="9"/>
  <c r="I30" i="9"/>
  <c r="J30" i="9" s="1"/>
  <c r="S30" i="9"/>
  <c r="T30" i="9" s="1"/>
  <c r="C27" i="9"/>
  <c r="D27" i="9"/>
  <c r="N27" i="9"/>
  <c r="O27" i="9" s="1"/>
  <c r="S27" i="9"/>
  <c r="T27" i="9" s="1"/>
  <c r="I27" i="9"/>
  <c r="J27" i="9" s="1"/>
  <c r="C24" i="9"/>
  <c r="S24" i="9"/>
  <c r="T24" i="9" s="1"/>
  <c r="N24" i="9"/>
  <c r="O24" i="9" s="1"/>
  <c r="I24" i="9"/>
  <c r="J24" i="9" s="1"/>
  <c r="D24" i="9"/>
  <c r="C8" i="9"/>
  <c r="S8" i="9"/>
  <c r="T8" i="9" s="1"/>
  <c r="N8" i="9"/>
  <c r="O8" i="9" s="1"/>
  <c r="I8" i="9"/>
  <c r="J8" i="9" s="1"/>
  <c r="D8" i="9"/>
  <c r="C32" i="9"/>
  <c r="S32" i="9"/>
  <c r="T32" i="9" s="1"/>
  <c r="I32" i="9"/>
  <c r="J32" i="9" s="1"/>
  <c r="N32" i="9"/>
  <c r="O32" i="9" s="1"/>
  <c r="D32" i="9"/>
  <c r="C23" i="9"/>
  <c r="N23" i="9"/>
  <c r="O23" i="9" s="1"/>
  <c r="I23" i="9"/>
  <c r="J23" i="9" s="1"/>
  <c r="S23" i="9"/>
  <c r="T23" i="9" s="1"/>
  <c r="D23" i="9"/>
  <c r="C18" i="9"/>
  <c r="D18" i="9"/>
  <c r="N18" i="9"/>
  <c r="O18" i="9" s="1"/>
  <c r="S18" i="9"/>
  <c r="T18" i="9" s="1"/>
  <c r="I18" i="9"/>
  <c r="J18" i="9" s="1"/>
  <c r="C25" i="9"/>
  <c r="S25" i="9"/>
  <c r="T25" i="9" s="1"/>
  <c r="I25" i="9"/>
  <c r="J25" i="9" s="1"/>
  <c r="N25" i="9"/>
  <c r="O25" i="9" s="1"/>
  <c r="D25" i="9"/>
  <c r="C7" i="9"/>
  <c r="S7" i="9"/>
  <c r="T7" i="9" s="1"/>
  <c r="I7" i="9"/>
  <c r="J7" i="9" s="1"/>
  <c r="N7" i="9"/>
  <c r="O7" i="9" s="1"/>
  <c r="D7" i="9"/>
  <c r="D21" i="17"/>
  <c r="E21" i="17" s="1"/>
  <c r="C17" i="9"/>
  <c r="S17" i="9"/>
  <c r="T17" i="9" s="1"/>
  <c r="N17" i="9"/>
  <c r="O17" i="9" s="1"/>
  <c r="I17" i="9"/>
  <c r="J17" i="9" s="1"/>
  <c r="D17" i="9"/>
  <c r="C33" i="9"/>
  <c r="S33" i="9"/>
  <c r="T33" i="9" s="1"/>
  <c r="N33" i="9"/>
  <c r="O33" i="9" s="1"/>
  <c r="I33" i="9"/>
  <c r="J33" i="9" s="1"/>
  <c r="D33" i="9"/>
  <c r="C28" i="9"/>
  <c r="I28" i="9"/>
  <c r="J28" i="9" s="1"/>
  <c r="D28" i="9"/>
  <c r="S28" i="9"/>
  <c r="T28" i="9" s="1"/>
  <c r="N28" i="9"/>
  <c r="O28" i="9" s="1"/>
  <c r="C14" i="9"/>
  <c r="N14" i="9"/>
  <c r="O14" i="9" s="1"/>
  <c r="D14" i="9"/>
  <c r="I14" i="9"/>
  <c r="J14" i="9" s="1"/>
  <c r="S14" i="9"/>
  <c r="T14" i="9" s="1"/>
  <c r="E26" i="15"/>
  <c r="D15" i="20"/>
  <c r="E15" i="20" s="1"/>
  <c r="C35" i="9"/>
  <c r="D35" i="9"/>
  <c r="S35" i="9"/>
  <c r="T35" i="9" s="1"/>
  <c r="N35" i="9"/>
  <c r="O35" i="9" s="1"/>
  <c r="I35" i="9"/>
  <c r="J35" i="9" s="1"/>
  <c r="C21" i="9"/>
  <c r="I21" i="9"/>
  <c r="J21" i="9" s="1"/>
  <c r="S21" i="9"/>
  <c r="T21" i="9" s="1"/>
  <c r="D21" i="9"/>
  <c r="N21" i="9"/>
  <c r="O21" i="9" s="1"/>
  <c r="C38" i="9"/>
  <c r="N38" i="9"/>
  <c r="O38" i="9" s="1"/>
  <c r="I38" i="9"/>
  <c r="J38" i="9" s="1"/>
  <c r="D38" i="9"/>
  <c r="S38" i="9"/>
  <c r="T38" i="9" s="1"/>
  <c r="C16" i="9"/>
  <c r="S16" i="9"/>
  <c r="T16" i="9" s="1"/>
  <c r="I16" i="9"/>
  <c r="J16" i="9" s="1"/>
  <c r="N16" i="9"/>
  <c r="O16" i="9" s="1"/>
  <c r="D16" i="9"/>
  <c r="D24" i="14"/>
  <c r="C24" i="14"/>
  <c r="D25" i="14"/>
  <c r="C25" i="14"/>
  <c r="D17" i="14"/>
  <c r="C17" i="14"/>
  <c r="C37" i="8"/>
  <c r="C20" i="8"/>
  <c r="D28" i="14"/>
  <c r="E28" i="14" s="1"/>
  <c r="D40" i="14"/>
  <c r="C40" i="14"/>
  <c r="D15" i="14"/>
  <c r="C15" i="14"/>
  <c r="D8" i="14"/>
  <c r="C8" i="14"/>
  <c r="C8" i="8"/>
  <c r="D12" i="14"/>
  <c r="C12" i="14"/>
  <c r="C25" i="8"/>
  <c r="D7" i="14"/>
  <c r="C7" i="14"/>
  <c r="D34" i="14"/>
  <c r="C34" i="14"/>
  <c r="D29" i="14"/>
  <c r="C29" i="14"/>
  <c r="C17" i="8"/>
  <c r="C33" i="8"/>
  <c r="C27" i="8"/>
  <c r="C14" i="8"/>
  <c r="D10" i="14"/>
  <c r="C10" i="14"/>
  <c r="D14" i="14"/>
  <c r="C14" i="14"/>
  <c r="D19" i="14"/>
  <c r="C19" i="14"/>
  <c r="D11" i="14"/>
  <c r="C11" i="14"/>
  <c r="C35" i="8"/>
  <c r="C21" i="8"/>
  <c r="C15" i="8"/>
  <c r="D20" i="14"/>
  <c r="C20" i="14"/>
  <c r="D31" i="14"/>
  <c r="C31" i="14"/>
  <c r="D16" i="14"/>
  <c r="C16" i="14"/>
  <c r="D37" i="20"/>
  <c r="E37" i="20" s="1"/>
  <c r="C16" i="8"/>
  <c r="C36" i="8"/>
  <c r="C19" i="8"/>
  <c r="D26" i="14"/>
  <c r="C26" i="14"/>
  <c r="D22" i="14"/>
  <c r="C22" i="14"/>
  <c r="D23" i="14"/>
  <c r="C23" i="14"/>
  <c r="C12" i="8"/>
  <c r="C39" i="8"/>
  <c r="D7" i="18"/>
  <c r="C7" i="18"/>
  <c r="D9" i="18"/>
  <c r="E9" i="18" s="1"/>
  <c r="D36" i="18"/>
  <c r="E36" i="18" s="1"/>
  <c r="D31" i="18"/>
  <c r="C31" i="18"/>
  <c r="D16" i="18"/>
  <c r="C16" i="18"/>
  <c r="D39" i="18"/>
  <c r="C39" i="18"/>
  <c r="D30" i="18"/>
  <c r="E30" i="18" s="1"/>
  <c r="D14" i="18"/>
  <c r="C14" i="18"/>
  <c r="D40" i="18"/>
  <c r="C40" i="18"/>
  <c r="D28" i="18"/>
  <c r="E28" i="18" s="1"/>
  <c r="D32" i="18"/>
  <c r="C32" i="18"/>
  <c r="D18" i="18"/>
  <c r="C18" i="18"/>
  <c r="D15" i="18"/>
  <c r="E15" i="18" s="1"/>
  <c r="D23" i="18"/>
  <c r="C23" i="18"/>
  <c r="D24" i="18"/>
  <c r="C24" i="18"/>
  <c r="D21" i="20"/>
  <c r="C21" i="20"/>
  <c r="D36" i="20"/>
  <c r="C36" i="20"/>
  <c r="D11" i="20"/>
  <c r="C11" i="20"/>
  <c r="D38" i="20"/>
  <c r="E38" i="20" s="1"/>
  <c r="D40" i="20"/>
  <c r="C40" i="20"/>
  <c r="D22" i="20"/>
  <c r="E22" i="20" s="1"/>
  <c r="D30" i="20"/>
  <c r="C30" i="20"/>
  <c r="D12" i="20"/>
  <c r="C12" i="20"/>
  <c r="D8" i="20"/>
  <c r="C8" i="20"/>
  <c r="D32" i="20"/>
  <c r="E32" i="20" s="1"/>
  <c r="D9" i="20"/>
  <c r="C9" i="20"/>
  <c r="D31" i="20"/>
  <c r="E31" i="20" s="1"/>
  <c r="D26" i="20"/>
  <c r="C26" i="20"/>
  <c r="D28" i="20"/>
  <c r="C28" i="20"/>
  <c r="D13" i="20"/>
  <c r="C13" i="20"/>
  <c r="D9" i="19"/>
  <c r="C9" i="19"/>
  <c r="D27" i="19"/>
  <c r="C27" i="19"/>
  <c r="D30" i="19"/>
  <c r="C30" i="19"/>
  <c r="D31" i="19"/>
  <c r="C31" i="19"/>
  <c r="D38" i="19"/>
  <c r="C38" i="19"/>
  <c r="D19" i="19"/>
  <c r="C19" i="19"/>
  <c r="D7" i="19"/>
  <c r="C7" i="19"/>
  <c r="D15" i="19"/>
  <c r="C15" i="19"/>
  <c r="D29" i="19"/>
  <c r="C29" i="19"/>
  <c r="D10" i="19"/>
  <c r="C10" i="19"/>
  <c r="D26" i="19"/>
  <c r="C26" i="19"/>
  <c r="D23" i="19"/>
  <c r="C23" i="19"/>
  <c r="D36" i="19"/>
  <c r="C36" i="19"/>
  <c r="D24" i="19"/>
  <c r="C24" i="19"/>
  <c r="D12" i="19"/>
  <c r="C12" i="19"/>
  <c r="D13" i="19"/>
  <c r="C13" i="19"/>
  <c r="D28" i="19"/>
  <c r="C28" i="19"/>
  <c r="D39" i="19"/>
  <c r="C39" i="19"/>
  <c r="D35" i="19"/>
  <c r="C35" i="19"/>
  <c r="D16" i="19"/>
  <c r="C16" i="19"/>
  <c r="D8" i="19"/>
  <c r="C8" i="19"/>
  <c r="D25" i="19"/>
  <c r="C25" i="19"/>
  <c r="D20" i="19"/>
  <c r="C20" i="19"/>
  <c r="D37" i="19"/>
  <c r="C37" i="19"/>
  <c r="D21" i="19"/>
  <c r="C21" i="19"/>
  <c r="D40" i="19"/>
  <c r="C40" i="19"/>
  <c r="D34" i="19"/>
  <c r="C34" i="19"/>
  <c r="D18" i="19"/>
  <c r="C18" i="19"/>
  <c r="D17" i="19"/>
  <c r="C17" i="19"/>
  <c r="D32" i="19"/>
  <c r="C32" i="19"/>
  <c r="D14" i="19"/>
  <c r="C14" i="19"/>
  <c r="D33" i="19"/>
  <c r="C33" i="19"/>
  <c r="D11" i="19"/>
  <c r="C11" i="19"/>
  <c r="D22" i="19"/>
  <c r="C22" i="19"/>
  <c r="D17" i="17"/>
  <c r="C17" i="17"/>
  <c r="D23" i="17"/>
  <c r="E23" i="17" s="1"/>
  <c r="D22" i="17"/>
  <c r="E22" i="17" s="1"/>
  <c r="D28" i="17"/>
  <c r="E28" i="17" s="1"/>
  <c r="D35" i="17"/>
  <c r="E35" i="17" s="1"/>
  <c r="D14" i="17"/>
  <c r="E14" i="17" s="1"/>
  <c r="D12" i="17"/>
  <c r="E12" i="17" s="1"/>
  <c r="D10" i="16"/>
  <c r="E10" i="16" s="1"/>
  <c r="D14" i="16"/>
  <c r="C14" i="16"/>
  <c r="D12" i="16"/>
  <c r="E12" i="16" s="1"/>
  <c r="D17" i="16"/>
  <c r="C17" i="16"/>
  <c r="D8" i="16"/>
  <c r="E8" i="16" s="1"/>
  <c r="D39" i="16"/>
  <c r="C39" i="16"/>
  <c r="D34" i="16"/>
  <c r="C34" i="16"/>
  <c r="D30" i="16"/>
  <c r="E30" i="16" s="1"/>
  <c r="D33" i="16"/>
  <c r="C33" i="16"/>
  <c r="D28" i="16"/>
  <c r="E28" i="16" s="1"/>
  <c r="D25" i="16"/>
  <c r="C25" i="16"/>
  <c r="D32" i="16"/>
  <c r="C32" i="16"/>
  <c r="D22" i="16"/>
  <c r="C22" i="16"/>
  <c r="C15" i="15"/>
  <c r="C35" i="15"/>
  <c r="C23" i="15"/>
  <c r="C7" i="15"/>
  <c r="C20" i="15"/>
  <c r="C19" i="15"/>
  <c r="C29" i="15"/>
  <c r="C36" i="15"/>
  <c r="C21" i="15"/>
  <c r="C17" i="15"/>
  <c r="E33" i="15"/>
  <c r="C11" i="15"/>
  <c r="C12" i="15"/>
  <c r="C8" i="15"/>
  <c r="E18" i="15"/>
  <c r="C34" i="15"/>
  <c r="C30" i="15"/>
  <c r="C32" i="15"/>
  <c r="C40" i="15"/>
  <c r="D31" i="17"/>
  <c r="P9" i="2"/>
  <c r="G9" i="2"/>
  <c r="H9" i="2"/>
  <c r="I9" i="2"/>
  <c r="F9" i="2"/>
  <c r="C9" i="2"/>
  <c r="J9" i="2"/>
  <c r="K9" i="2"/>
  <c r="D9" i="2"/>
  <c r="L9" i="2"/>
  <c r="E27" i="15"/>
  <c r="D11" i="16"/>
  <c r="E11" i="16" s="1"/>
  <c r="D17" i="20"/>
  <c r="E17" i="20" s="1"/>
  <c r="D19" i="18"/>
  <c r="E19" i="18" s="1"/>
  <c r="D35" i="16"/>
  <c r="E35" i="16" s="1"/>
  <c r="D29" i="18"/>
  <c r="E29" i="18" s="1"/>
  <c r="D15" i="16"/>
  <c r="E15" i="16" s="1"/>
  <c r="D26" i="17"/>
  <c r="E26" i="17" s="1"/>
  <c r="D40" i="17"/>
  <c r="E40" i="17" s="1"/>
  <c r="D9" i="14"/>
  <c r="E9" i="14" s="1"/>
  <c r="D36" i="17"/>
  <c r="E36" i="17" s="1"/>
  <c r="E39" i="15"/>
  <c r="D38" i="14"/>
  <c r="E38" i="14" s="1"/>
  <c r="D27" i="14"/>
  <c r="E27" i="14" s="1"/>
  <c r="D19" i="20"/>
  <c r="E19" i="20" s="1"/>
  <c r="D17" i="18"/>
  <c r="E17" i="18" s="1"/>
  <c r="D21" i="16"/>
  <c r="E21" i="16" s="1"/>
  <c r="E28" i="15"/>
  <c r="D39" i="20"/>
  <c r="E39" i="20" s="1"/>
  <c r="D23" i="16"/>
  <c r="E23" i="16" s="1"/>
  <c r="D16" i="17"/>
  <c r="E16" i="17" s="1"/>
  <c r="D36" i="14"/>
  <c r="E36" i="14" s="1"/>
  <c r="D26" i="16"/>
  <c r="E26" i="16" s="1"/>
  <c r="D33" i="14"/>
  <c r="E33" i="14" s="1"/>
  <c r="D9" i="16"/>
  <c r="E9" i="16" s="1"/>
  <c r="D16" i="20"/>
  <c r="E16" i="20" s="1"/>
  <c r="D38" i="18"/>
  <c r="E38" i="18" s="1"/>
  <c r="D26" i="18"/>
  <c r="E26" i="18" s="1"/>
  <c r="D12" i="18"/>
  <c r="E12" i="18" s="1"/>
  <c r="D32" i="17"/>
  <c r="E32" i="17" s="1"/>
  <c r="D39" i="17"/>
  <c r="E39" i="17" s="1"/>
  <c r="D18" i="17"/>
  <c r="E18" i="17" s="1"/>
  <c r="D13" i="16"/>
  <c r="E13" i="16" s="1"/>
  <c r="D7" i="16"/>
  <c r="E7" i="16" s="1"/>
  <c r="E13" i="15"/>
  <c r="D27" i="20"/>
  <c r="E27" i="20" s="1"/>
  <c r="D21" i="18"/>
  <c r="E21" i="18" s="1"/>
  <c r="D24" i="16"/>
  <c r="E24" i="16" s="1"/>
  <c r="E22" i="15"/>
  <c r="D13" i="18"/>
  <c r="E13" i="18" s="1"/>
  <c r="D13" i="14"/>
  <c r="E13" i="14" s="1"/>
  <c r="D29" i="20"/>
  <c r="E29" i="20" s="1"/>
  <c r="D20" i="20"/>
  <c r="E20" i="20" s="1"/>
  <c r="D35" i="18"/>
  <c r="E35" i="18" s="1"/>
  <c r="D19" i="16"/>
  <c r="E19" i="16" s="1"/>
  <c r="D21" i="14"/>
  <c r="E21" i="14" s="1"/>
  <c r="D25" i="20"/>
  <c r="E25" i="20" s="1"/>
  <c r="D33" i="18"/>
  <c r="E33" i="18" s="1"/>
  <c r="D22" i="18"/>
  <c r="E22" i="18" s="1"/>
  <c r="C3" i="17"/>
  <c r="C3" i="21"/>
  <c r="E7" i="21" s="1"/>
  <c r="D11" i="17"/>
  <c r="E11" i="17" s="1"/>
  <c r="D38" i="16"/>
  <c r="E38" i="16" s="1"/>
  <c r="D25" i="17"/>
  <c r="E25" i="17" s="1"/>
  <c r="D37" i="17"/>
  <c r="E37" i="17" s="1"/>
  <c r="E25" i="15"/>
  <c r="D27" i="18"/>
  <c r="E27" i="18" s="1"/>
  <c r="D20" i="18"/>
  <c r="E20" i="18" s="1"/>
  <c r="D10" i="17"/>
  <c r="E10" i="17" s="1"/>
  <c r="D27" i="16"/>
  <c r="E27" i="16" s="1"/>
  <c r="D30" i="17"/>
  <c r="E30" i="17" s="1"/>
  <c r="D15" i="17"/>
  <c r="E15" i="17" s="1"/>
  <c r="E31" i="15"/>
  <c r="E16" i="15"/>
  <c r="E9" i="15"/>
  <c r="D7" i="20"/>
  <c r="E7" i="20" s="1"/>
  <c r="D34" i="20"/>
  <c r="E34" i="20" s="1"/>
  <c r="D23" i="20"/>
  <c r="E23" i="20" s="1"/>
  <c r="D34" i="18"/>
  <c r="E34" i="18" s="1"/>
  <c r="D25" i="18"/>
  <c r="E25" i="18" s="1"/>
  <c r="D34" i="17"/>
  <c r="E34" i="17" s="1"/>
  <c r="D33" i="17"/>
  <c r="E33" i="17" s="1"/>
  <c r="D27" i="17"/>
  <c r="E27" i="17" s="1"/>
  <c r="D37" i="16"/>
  <c r="E37" i="16" s="1"/>
  <c r="E38" i="15"/>
  <c r="D10" i="20"/>
  <c r="E10" i="20" s="1"/>
  <c r="D37" i="18"/>
  <c r="E37" i="18" s="1"/>
  <c r="D29" i="16"/>
  <c r="E29" i="16" s="1"/>
  <c r="D20" i="16"/>
  <c r="E20" i="16" s="1"/>
  <c r="D18" i="16"/>
  <c r="E18" i="16" s="1"/>
  <c r="D8" i="18"/>
  <c r="E8" i="18" s="1"/>
  <c r="D35" i="14"/>
  <c r="E35" i="14" s="1"/>
  <c r="D18" i="14"/>
  <c r="E18" i="14" s="1"/>
  <c r="D36" i="16"/>
  <c r="E36" i="16" s="1"/>
  <c r="D31" i="16"/>
  <c r="E31" i="16" s="1"/>
  <c r="D8" i="17"/>
  <c r="E8" i="17" s="1"/>
  <c r="D20" i="17"/>
  <c r="E20" i="17" s="1"/>
  <c r="D9" i="17"/>
  <c r="E9" i="17" s="1"/>
  <c r="D38" i="17"/>
  <c r="E38" i="17" s="1"/>
  <c r="D13" i="17"/>
  <c r="E13" i="17" s="1"/>
  <c r="C3" i="18"/>
  <c r="E24" i="17"/>
  <c r="Q8" i="2"/>
  <c r="C3" i="8"/>
  <c r="C3" i="4"/>
  <c r="C2" i="9"/>
  <c r="C3" i="9" s="1"/>
  <c r="C3" i="14"/>
  <c r="C47" i="1"/>
  <c r="D30" i="14"/>
  <c r="E30" i="14" s="1"/>
  <c r="D33" i="20"/>
  <c r="E33" i="20" s="1"/>
  <c r="C41" i="4"/>
  <c r="D39" i="4" s="1"/>
  <c r="E10" i="18"/>
  <c r="C3" i="16"/>
  <c r="C3" i="15"/>
  <c r="C3" i="20"/>
  <c r="C3" i="19"/>
  <c r="E11" i="18"/>
  <c r="E24" i="15" l="1"/>
  <c r="H8" i="8"/>
  <c r="H9" i="8"/>
  <c r="H19" i="8"/>
  <c r="H35" i="8"/>
  <c r="H12" i="8"/>
  <c r="H36" i="8"/>
  <c r="H14" i="8"/>
  <c r="H39" i="8"/>
  <c r="H16" i="8"/>
  <c r="H15" i="8"/>
  <c r="H27" i="8"/>
  <c r="H20" i="8"/>
  <c r="H17" i="8"/>
  <c r="H21" i="8"/>
  <c r="H33" i="8"/>
  <c r="H25" i="8"/>
  <c r="H37" i="8"/>
  <c r="E24" i="9"/>
  <c r="E27" i="9"/>
  <c r="E36" i="9"/>
  <c r="E39" i="9"/>
  <c r="E35" i="9"/>
  <c r="E23" i="9"/>
  <c r="E13" i="9"/>
  <c r="E40" i="9"/>
  <c r="E21" i="9"/>
  <c r="E7" i="9"/>
  <c r="E10" i="9"/>
  <c r="E22" i="9"/>
  <c r="E8" i="9"/>
  <c r="E28" i="9"/>
  <c r="E17" i="9"/>
  <c r="E30" i="9"/>
  <c r="E37" i="9"/>
  <c r="E9" i="9"/>
  <c r="E19" i="9"/>
  <c r="E38" i="9"/>
  <c r="E31" i="9"/>
  <c r="E26" i="9"/>
  <c r="E34" i="9"/>
  <c r="E32" i="9"/>
  <c r="E12" i="9"/>
  <c r="E29" i="9"/>
  <c r="E16" i="9"/>
  <c r="E14" i="9"/>
  <c r="E33" i="9"/>
  <c r="E25" i="9"/>
  <c r="E18" i="9"/>
  <c r="E11" i="9"/>
  <c r="E20" i="9"/>
  <c r="E15" i="9"/>
  <c r="D41" i="19"/>
  <c r="H38" i="8"/>
  <c r="H40" i="8"/>
  <c r="H18" i="8"/>
  <c r="H11" i="8"/>
  <c r="H29" i="8"/>
  <c r="H30" i="8"/>
  <c r="H34" i="8"/>
  <c r="H31" i="8"/>
  <c r="H23" i="8"/>
  <c r="H10" i="8"/>
  <c r="H28" i="8"/>
  <c r="H26" i="8"/>
  <c r="H13" i="8"/>
  <c r="H22" i="8"/>
  <c r="H24" i="8"/>
  <c r="H32" i="8"/>
  <c r="E41" i="8"/>
  <c r="F41" i="8" s="1"/>
  <c r="E8" i="14"/>
  <c r="F20" i="9"/>
  <c r="F15" i="9"/>
  <c r="F16" i="9"/>
  <c r="F33" i="9"/>
  <c r="F25" i="9"/>
  <c r="E16" i="18"/>
  <c r="E20" i="14"/>
  <c r="F38" i="9"/>
  <c r="F12" i="9"/>
  <c r="E10" i="14"/>
  <c r="F17" i="9"/>
  <c r="F18" i="9"/>
  <c r="F11" i="9"/>
  <c r="F9" i="9"/>
  <c r="F29" i="9"/>
  <c r="F14" i="9"/>
  <c r="F31" i="9"/>
  <c r="E40" i="15"/>
  <c r="E17" i="15"/>
  <c r="E19" i="15"/>
  <c r="E35" i="15"/>
  <c r="E25" i="16"/>
  <c r="E39" i="16"/>
  <c r="E40" i="14"/>
  <c r="F13" i="9"/>
  <c r="F10" i="9"/>
  <c r="F21" i="9"/>
  <c r="E23" i="14"/>
  <c r="E34" i="15"/>
  <c r="E29" i="15"/>
  <c r="E23" i="15"/>
  <c r="E34" i="16"/>
  <c r="E40" i="20"/>
  <c r="E32" i="18"/>
  <c r="E39" i="18"/>
  <c r="E7" i="18"/>
  <c r="E26" i="14"/>
  <c r="F32" i="9"/>
  <c r="F22" i="9"/>
  <c r="K23" i="9"/>
  <c r="U24" i="9"/>
  <c r="K22" i="9"/>
  <c r="P40" i="9"/>
  <c r="U19" i="9"/>
  <c r="K21" i="9"/>
  <c r="K18" i="9"/>
  <c r="K8" i="9"/>
  <c r="U26" i="9"/>
  <c r="K11" i="9"/>
  <c r="U40" i="9"/>
  <c r="P29" i="9"/>
  <c r="E24" i="14"/>
  <c r="U14" i="9"/>
  <c r="K17" i="9"/>
  <c r="U18" i="9"/>
  <c r="P8" i="9"/>
  <c r="U37" i="9"/>
  <c r="P9" i="9"/>
  <c r="F40" i="9"/>
  <c r="F19" i="9"/>
  <c r="K38" i="9"/>
  <c r="K35" i="9"/>
  <c r="K14" i="9"/>
  <c r="F28" i="9"/>
  <c r="P17" i="9"/>
  <c r="F7" i="9"/>
  <c r="P18" i="9"/>
  <c r="U8" i="9"/>
  <c r="U27" i="9"/>
  <c r="F30" i="9"/>
  <c r="U31" i="9"/>
  <c r="F26" i="9"/>
  <c r="F34" i="9"/>
  <c r="U11" i="9"/>
  <c r="P20" i="9"/>
  <c r="K37" i="9"/>
  <c r="K9" i="9"/>
  <c r="U15" i="9"/>
  <c r="U21" i="9"/>
  <c r="U28" i="9"/>
  <c r="N41" i="9"/>
  <c r="P7" i="9"/>
  <c r="K30" i="9"/>
  <c r="P26" i="9"/>
  <c r="U34" i="9"/>
  <c r="F36" i="9"/>
  <c r="P37" i="9"/>
  <c r="F39" i="9"/>
  <c r="U38" i="9"/>
  <c r="K7" i="9"/>
  <c r="I41" i="9"/>
  <c r="P23" i="9"/>
  <c r="F24" i="9"/>
  <c r="P12" i="9"/>
  <c r="P34" i="9"/>
  <c r="P22" i="9"/>
  <c r="E29" i="14"/>
  <c r="K28" i="9"/>
  <c r="U7" i="9"/>
  <c r="S41" i="9"/>
  <c r="F23" i="9"/>
  <c r="K27" i="9"/>
  <c r="P30" i="9"/>
  <c r="U12" i="9"/>
  <c r="P11" i="9"/>
  <c r="U29" i="9"/>
  <c r="E22" i="14"/>
  <c r="E16" i="14"/>
  <c r="P38" i="9"/>
  <c r="P35" i="9"/>
  <c r="U17" i="9"/>
  <c r="P32" i="9"/>
  <c r="F8" i="9"/>
  <c r="P27" i="9"/>
  <c r="P13" i="9"/>
  <c r="K31" i="9"/>
  <c r="K10" i="9"/>
  <c r="K12" i="9"/>
  <c r="P36" i="9"/>
  <c r="F37" i="9"/>
  <c r="U9" i="9"/>
  <c r="U39" i="9"/>
  <c r="K29" i="9"/>
  <c r="P16" i="9"/>
  <c r="U35" i="9"/>
  <c r="P14" i="9"/>
  <c r="K33" i="9"/>
  <c r="P25" i="9"/>
  <c r="K32" i="9"/>
  <c r="U13" i="9"/>
  <c r="P31" i="9"/>
  <c r="P10" i="9"/>
  <c r="U20" i="9"/>
  <c r="K15" i="9"/>
  <c r="E11" i="14"/>
  <c r="E7" i="14"/>
  <c r="K16" i="9"/>
  <c r="P21" i="9"/>
  <c r="P33" i="9"/>
  <c r="K25" i="9"/>
  <c r="U32" i="9"/>
  <c r="K24" i="9"/>
  <c r="F27" i="9"/>
  <c r="U10" i="9"/>
  <c r="U36" i="9"/>
  <c r="U22" i="9"/>
  <c r="K20" i="9"/>
  <c r="K39" i="9"/>
  <c r="K19" i="9"/>
  <c r="P15" i="9"/>
  <c r="E19" i="14"/>
  <c r="E25" i="14"/>
  <c r="U16" i="9"/>
  <c r="F35" i="9"/>
  <c r="P28" i="9"/>
  <c r="U33" i="9"/>
  <c r="D41" i="9"/>
  <c r="U25" i="9"/>
  <c r="U23" i="9"/>
  <c r="P24" i="9"/>
  <c r="U30" i="9"/>
  <c r="K13" i="9"/>
  <c r="K26" i="9"/>
  <c r="K34" i="9"/>
  <c r="K36" i="9"/>
  <c r="K40" i="9"/>
  <c r="P39" i="9"/>
  <c r="P19" i="9"/>
  <c r="E31" i="14"/>
  <c r="E15" i="14"/>
  <c r="E17" i="17"/>
  <c r="E34" i="19"/>
  <c r="E20" i="19"/>
  <c r="E12" i="19"/>
  <c r="E28" i="20"/>
  <c r="E24" i="18"/>
  <c r="E32" i="19"/>
  <c r="E25" i="19"/>
  <c r="E39" i="19"/>
  <c r="E10" i="19"/>
  <c r="E19" i="19"/>
  <c r="E27" i="19"/>
  <c r="E26" i="20"/>
  <c r="E12" i="20"/>
  <c r="E11" i="20"/>
  <c r="E23" i="18"/>
  <c r="E40" i="18"/>
  <c r="E14" i="14"/>
  <c r="E12" i="14"/>
  <c r="E34" i="14"/>
  <c r="E17" i="14"/>
  <c r="E11" i="19"/>
  <c r="E17" i="19"/>
  <c r="E21" i="19"/>
  <c r="E8" i="19"/>
  <c r="E28" i="19"/>
  <c r="E36" i="19"/>
  <c r="E29" i="19"/>
  <c r="E38" i="19"/>
  <c r="E9" i="19"/>
  <c r="E14" i="18"/>
  <c r="E16" i="19"/>
  <c r="E21" i="20"/>
  <c r="E32" i="15"/>
  <c r="E21" i="15"/>
  <c r="E20" i="15"/>
  <c r="E15" i="15"/>
  <c r="E31" i="18"/>
  <c r="E30" i="15"/>
  <c r="E36" i="15"/>
  <c r="E7" i="15"/>
  <c r="E22" i="16"/>
  <c r="E9" i="20"/>
  <c r="E18" i="19"/>
  <c r="E13" i="20"/>
  <c r="E22" i="19"/>
  <c r="E8" i="15"/>
  <c r="E40" i="19"/>
  <c r="E24" i="19"/>
  <c r="E33" i="16"/>
  <c r="E17" i="16"/>
  <c r="E30" i="20"/>
  <c r="E36" i="20"/>
  <c r="E11" i="15"/>
  <c r="E33" i="19"/>
  <c r="E37" i="19"/>
  <c r="E13" i="19"/>
  <c r="E23" i="19"/>
  <c r="E15" i="19"/>
  <c r="E31" i="19"/>
  <c r="E18" i="18"/>
  <c r="E32" i="16"/>
  <c r="E14" i="16"/>
  <c r="E14" i="19"/>
  <c r="E35" i="19"/>
  <c r="E7" i="19"/>
  <c r="E30" i="19"/>
  <c r="E8" i="20"/>
  <c r="E12" i="15"/>
  <c r="C4" i="21"/>
  <c r="Q40" i="1"/>
  <c r="Q13" i="1"/>
  <c r="E31" i="17"/>
  <c r="C41" i="17"/>
  <c r="C41" i="15"/>
  <c r="C41" i="18"/>
  <c r="C41" i="14"/>
  <c r="C41" i="16"/>
  <c r="C41" i="19"/>
  <c r="D41" i="15"/>
  <c r="C41" i="8"/>
  <c r="C41" i="9"/>
  <c r="C41" i="20"/>
  <c r="E10" i="15"/>
  <c r="Q43" i="1"/>
  <c r="Q17" i="1"/>
  <c r="Q15" i="1"/>
  <c r="Q33" i="1"/>
  <c r="Q18" i="1"/>
  <c r="Q22" i="1"/>
  <c r="Q21" i="1"/>
  <c r="Q30" i="1"/>
  <c r="Q14" i="1"/>
  <c r="Q19" i="1"/>
  <c r="Q46" i="1"/>
  <c r="Q45" i="1"/>
  <c r="Q25" i="1"/>
  <c r="Q39" i="1"/>
  <c r="Q28" i="1"/>
  <c r="Q42" i="1"/>
  <c r="Q29" i="1"/>
  <c r="Q23" i="1"/>
  <c r="Q27" i="1"/>
  <c r="Q41" i="1"/>
  <c r="Q16" i="1"/>
  <c r="Q36" i="1"/>
  <c r="Q35" i="1"/>
  <c r="Q38" i="1"/>
  <c r="Q32" i="1"/>
  <c r="Q34" i="1"/>
  <c r="Q44" i="1"/>
  <c r="Q24" i="1"/>
  <c r="Q31" i="1"/>
  <c r="Q20" i="1"/>
  <c r="Q26" i="1"/>
  <c r="Q37" i="1"/>
  <c r="E26" i="19"/>
  <c r="D41" i="14"/>
  <c r="D13" i="4"/>
  <c r="D27" i="4"/>
  <c r="D36" i="4"/>
  <c r="D24" i="4"/>
  <c r="D30" i="4"/>
  <c r="D26" i="4"/>
  <c r="D18" i="4"/>
  <c r="D11" i="4"/>
  <c r="D33" i="4"/>
  <c r="D29" i="4"/>
  <c r="D15" i="4"/>
  <c r="D25" i="4"/>
  <c r="D17" i="4"/>
  <c r="D19" i="4"/>
  <c r="D28" i="4"/>
  <c r="D12" i="4"/>
  <c r="D20" i="4"/>
  <c r="D32" i="4"/>
  <c r="D22" i="4"/>
  <c r="D14" i="4"/>
  <c r="D34" i="4"/>
  <c r="D7" i="4"/>
  <c r="D31" i="4"/>
  <c r="D10" i="4"/>
  <c r="D8" i="4"/>
  <c r="D16" i="4"/>
  <c r="D21" i="4"/>
  <c r="D9" i="4"/>
  <c r="D37" i="4"/>
  <c r="D38" i="4"/>
  <c r="D40" i="4"/>
  <c r="D23" i="4"/>
  <c r="D35" i="4"/>
  <c r="H41" i="8" l="1"/>
  <c r="U41" i="9"/>
  <c r="F41" i="9"/>
  <c r="E41" i="9"/>
  <c r="E41" i="17"/>
  <c r="F25" i="17" s="1"/>
  <c r="J41" i="9"/>
  <c r="P41" i="9"/>
  <c r="O41" i="9"/>
  <c r="E41" i="14"/>
  <c r="F7" i="14" s="1"/>
  <c r="T41" i="9"/>
  <c r="K41" i="9"/>
  <c r="E41" i="18"/>
  <c r="F11" i="18" s="1"/>
  <c r="E41" i="16"/>
  <c r="F8" i="16" s="1"/>
  <c r="E41" i="20"/>
  <c r="F7" i="20" s="1"/>
  <c r="E41" i="15"/>
  <c r="F12" i="15" s="1"/>
  <c r="E17" i="21"/>
  <c r="E25" i="21"/>
  <c r="D17" i="1" s="1"/>
  <c r="D19" i="1"/>
  <c r="E41" i="21"/>
  <c r="D13" i="1" s="1"/>
  <c r="E34" i="21"/>
  <c r="F34" i="21" s="1"/>
  <c r="E18" i="21"/>
  <c r="D16" i="1" s="1"/>
  <c r="E38" i="21"/>
  <c r="D14" i="1" s="1"/>
  <c r="E19" i="21"/>
  <c r="D15" i="1" s="1"/>
  <c r="E31" i="21"/>
  <c r="D18" i="1" s="1"/>
  <c r="E28" i="21"/>
  <c r="D39" i="1" s="1"/>
  <c r="E36" i="21"/>
  <c r="D33" i="1" s="1"/>
  <c r="E8" i="21"/>
  <c r="D36" i="1" s="1"/>
  <c r="E33" i="21"/>
  <c r="D34" i="1" s="1"/>
  <c r="E42" i="21"/>
  <c r="D37" i="1" s="1"/>
  <c r="E23" i="21"/>
  <c r="D35" i="1" s="1"/>
  <c r="E16" i="21"/>
  <c r="D38" i="1" s="1"/>
  <c r="E9" i="21"/>
  <c r="D44" i="1" s="1"/>
  <c r="E32" i="21"/>
  <c r="D46" i="1" s="1"/>
  <c r="E40" i="21"/>
  <c r="D45" i="1" s="1"/>
  <c r="E26" i="21"/>
  <c r="D43" i="1" s="1"/>
  <c r="E30" i="21"/>
  <c r="D42" i="1" s="1"/>
  <c r="E21" i="21"/>
  <c r="D41" i="1" s="1"/>
  <c r="E15" i="21"/>
  <c r="D40" i="1" s="1"/>
  <c r="E10" i="21"/>
  <c r="D28" i="1" s="1"/>
  <c r="E11" i="21"/>
  <c r="D30" i="1" s="1"/>
  <c r="E39" i="21"/>
  <c r="F39" i="21" s="1"/>
  <c r="E20" i="21"/>
  <c r="D23" i="1" s="1"/>
  <c r="E14" i="21"/>
  <c r="D21" i="1" s="1"/>
  <c r="E24" i="21"/>
  <c r="D32" i="1" s="1"/>
  <c r="E29" i="21"/>
  <c r="D27" i="1" s="1"/>
  <c r="E37" i="21"/>
  <c r="D25" i="1" s="1"/>
  <c r="E12" i="21"/>
  <c r="D31" i="1" s="1"/>
  <c r="E13" i="21"/>
  <c r="D20" i="1" s="1"/>
  <c r="E22" i="21"/>
  <c r="D22" i="1" s="1"/>
  <c r="E27" i="21"/>
  <c r="D29" i="1" s="1"/>
  <c r="E35" i="21"/>
  <c r="D24" i="1" s="1"/>
  <c r="E41" i="19"/>
  <c r="F26" i="19" s="1"/>
  <c r="Q47" i="1"/>
  <c r="D41" i="4"/>
  <c r="C4" i="8"/>
  <c r="G9" i="8" s="1"/>
  <c r="I39" i="8" l="1"/>
  <c r="I7" i="8"/>
  <c r="G35" i="8"/>
  <c r="G37" i="8"/>
  <c r="G21" i="8"/>
  <c r="G20" i="8"/>
  <c r="G15" i="8"/>
  <c r="G25" i="8"/>
  <c r="G16" i="8"/>
  <c r="G17" i="8"/>
  <c r="G36" i="8"/>
  <c r="G33" i="8"/>
  <c r="G19" i="8"/>
  <c r="G27" i="8"/>
  <c r="G12" i="8"/>
  <c r="G14" i="8"/>
  <c r="G39" i="8"/>
  <c r="G13" i="8"/>
  <c r="G38" i="8"/>
  <c r="G32" i="8"/>
  <c r="G29" i="8"/>
  <c r="G18" i="8"/>
  <c r="G10" i="8"/>
  <c r="G30" i="8"/>
  <c r="G11" i="8"/>
  <c r="G23" i="8"/>
  <c r="G28" i="8"/>
  <c r="G34" i="8"/>
  <c r="G24" i="8"/>
  <c r="G26" i="8"/>
  <c r="G40" i="8"/>
  <c r="G31" i="8"/>
  <c r="G22" i="8"/>
  <c r="F24" i="19"/>
  <c r="I29" i="8"/>
  <c r="I34" i="8"/>
  <c r="I16" i="8"/>
  <c r="I13" i="8"/>
  <c r="I14" i="8"/>
  <c r="I30" i="8"/>
  <c r="I20" i="8"/>
  <c r="I40" i="8"/>
  <c r="I25" i="8"/>
  <c r="I38" i="8"/>
  <c r="I27" i="8"/>
  <c r="I23" i="8"/>
  <c r="I37" i="8"/>
  <c r="I35" i="8"/>
  <c r="I26" i="8"/>
  <c r="I10" i="8"/>
  <c r="I12" i="8"/>
  <c r="I18" i="8"/>
  <c r="I24" i="8"/>
  <c r="I15" i="8"/>
  <c r="I33" i="8"/>
  <c r="F32" i="18"/>
  <c r="I32" i="8"/>
  <c r="I11" i="8"/>
  <c r="I19" i="8"/>
  <c r="I21" i="8"/>
  <c r="I28" i="8"/>
  <c r="I31" i="8"/>
  <c r="I8" i="8"/>
  <c r="I36" i="8"/>
  <c r="I22" i="8"/>
  <c r="I9" i="8"/>
  <c r="I17" i="8"/>
  <c r="F33" i="18"/>
  <c r="F28" i="18"/>
  <c r="F20" i="18"/>
  <c r="F13" i="17"/>
  <c r="F32" i="17"/>
  <c r="F20" i="17"/>
  <c r="F31" i="18"/>
  <c r="F21" i="17"/>
  <c r="F19" i="18"/>
  <c r="F34" i="17"/>
  <c r="F21" i="18"/>
  <c r="F39" i="17"/>
  <c r="F14" i="17"/>
  <c r="F11" i="17"/>
  <c r="F23" i="17"/>
  <c r="F12" i="18"/>
  <c r="F17" i="17"/>
  <c r="F22" i="17"/>
  <c r="F24" i="18"/>
  <c r="F31" i="17"/>
  <c r="F26" i="17"/>
  <c r="F7" i="18"/>
  <c r="F14" i="18"/>
  <c r="F37" i="17"/>
  <c r="F34" i="14"/>
  <c r="F10" i="14"/>
  <c r="F31" i="14"/>
  <c r="F15" i="14"/>
  <c r="F18" i="18"/>
  <c r="F38" i="18"/>
  <c r="F34" i="18"/>
  <c r="F18" i="17"/>
  <c r="F36" i="17"/>
  <c r="F38" i="14"/>
  <c r="F33" i="14"/>
  <c r="F21" i="14"/>
  <c r="F22" i="14"/>
  <c r="F12" i="14"/>
  <c r="F17" i="14"/>
  <c r="F40" i="18"/>
  <c r="F25" i="18"/>
  <c r="F28" i="17"/>
  <c r="F35" i="17"/>
  <c r="F7" i="17"/>
  <c r="F18" i="14"/>
  <c r="F8" i="14"/>
  <c r="F27" i="14"/>
  <c r="F40" i="14"/>
  <c r="F32" i="14"/>
  <c r="F20" i="14"/>
  <c r="F16" i="14"/>
  <c r="F26" i="14"/>
  <c r="F35" i="14"/>
  <c r="F11" i="14"/>
  <c r="F30" i="14"/>
  <c r="F14" i="14"/>
  <c r="F39" i="14"/>
  <c r="F23" i="18"/>
  <c r="F29" i="18"/>
  <c r="F12" i="17"/>
  <c r="F29" i="14"/>
  <c r="F13" i="14"/>
  <c r="F29" i="17"/>
  <c r="F8" i="18"/>
  <c r="F30" i="18"/>
  <c r="F15" i="17"/>
  <c r="F24" i="17"/>
  <c r="F9" i="17"/>
  <c r="F37" i="14"/>
  <c r="F28" i="14"/>
  <c r="F36" i="14"/>
  <c r="F9" i="14"/>
  <c r="Q11" i="9"/>
  <c r="R11" i="9" s="1"/>
  <c r="Q20" i="9"/>
  <c r="R20" i="9" s="1"/>
  <c r="Q40" i="9"/>
  <c r="R40" i="9" s="1"/>
  <c r="Q28" i="9"/>
  <c r="R28" i="9" s="1"/>
  <c r="Q9" i="9"/>
  <c r="R9" i="9" s="1"/>
  <c r="Q30" i="9"/>
  <c r="R30" i="9" s="1"/>
  <c r="Q23" i="9"/>
  <c r="R23" i="9" s="1"/>
  <c r="Q26" i="9"/>
  <c r="R26" i="9" s="1"/>
  <c r="Q34" i="9"/>
  <c r="R34" i="9" s="1"/>
  <c r="Q19" i="9"/>
  <c r="R19" i="9" s="1"/>
  <c r="Q7" i="9"/>
  <c r="Q10" i="9"/>
  <c r="R10" i="9" s="1"/>
  <c r="Q8" i="9"/>
  <c r="R8" i="9" s="1"/>
  <c r="Q33" i="9"/>
  <c r="R33" i="9" s="1"/>
  <c r="Q14" i="9"/>
  <c r="R14" i="9" s="1"/>
  <c r="Q39" i="9"/>
  <c r="R39" i="9" s="1"/>
  <c r="Q13" i="9"/>
  <c r="R13" i="9" s="1"/>
  <c r="Q18" i="9"/>
  <c r="R18" i="9" s="1"/>
  <c r="Q31" i="9"/>
  <c r="R31" i="9" s="1"/>
  <c r="Q15" i="9"/>
  <c r="R15" i="9" s="1"/>
  <c r="Q36" i="9"/>
  <c r="R36" i="9" s="1"/>
  <c r="Q24" i="9"/>
  <c r="R24" i="9" s="1"/>
  <c r="Q22" i="9"/>
  <c r="R22" i="9" s="1"/>
  <c r="Q25" i="9"/>
  <c r="R25" i="9" s="1"/>
  <c r="Q21" i="9"/>
  <c r="R21" i="9" s="1"/>
  <c r="Q16" i="9"/>
  <c r="R16" i="9" s="1"/>
  <c r="Q32" i="9"/>
  <c r="R32" i="9" s="1"/>
  <c r="Q12" i="9"/>
  <c r="R12" i="9" s="1"/>
  <c r="Q27" i="9"/>
  <c r="R27" i="9" s="1"/>
  <c r="Q35" i="9"/>
  <c r="R35" i="9" s="1"/>
  <c r="Q17" i="9"/>
  <c r="R17" i="9" s="1"/>
  <c r="Q37" i="9"/>
  <c r="R37" i="9" s="1"/>
  <c r="Q29" i="9"/>
  <c r="R29" i="9" s="1"/>
  <c r="Q38" i="9"/>
  <c r="R38" i="9" s="1"/>
  <c r="L10" i="9"/>
  <c r="M10" i="9" s="1"/>
  <c r="L23" i="9"/>
  <c r="M23" i="9" s="1"/>
  <c r="L35" i="9"/>
  <c r="M35" i="9" s="1"/>
  <c r="L14" i="9"/>
  <c r="M14" i="9" s="1"/>
  <c r="L32" i="9"/>
  <c r="M32" i="9" s="1"/>
  <c r="L26" i="9"/>
  <c r="M26" i="9" s="1"/>
  <c r="L33" i="9"/>
  <c r="M33" i="9" s="1"/>
  <c r="L13" i="9"/>
  <c r="M13" i="9" s="1"/>
  <c r="L25" i="9"/>
  <c r="M25" i="9" s="1"/>
  <c r="L34" i="9"/>
  <c r="M34" i="9" s="1"/>
  <c r="L39" i="9"/>
  <c r="M39" i="9" s="1"/>
  <c r="L11" i="9"/>
  <c r="M11" i="9" s="1"/>
  <c r="L27" i="9"/>
  <c r="M27" i="9" s="1"/>
  <c r="L19" i="9"/>
  <c r="M19" i="9" s="1"/>
  <c r="L9" i="9"/>
  <c r="M9" i="9" s="1"/>
  <c r="L24" i="9"/>
  <c r="M24" i="9" s="1"/>
  <c r="L7" i="9"/>
  <c r="L28" i="9"/>
  <c r="M28" i="9" s="1"/>
  <c r="L29" i="9"/>
  <c r="M29" i="9" s="1"/>
  <c r="L8" i="9"/>
  <c r="M8" i="9" s="1"/>
  <c r="L30" i="9"/>
  <c r="M30" i="9" s="1"/>
  <c r="L18" i="9"/>
  <c r="M18" i="9" s="1"/>
  <c r="L15" i="9"/>
  <c r="M15" i="9" s="1"/>
  <c r="L16" i="9"/>
  <c r="M16" i="9" s="1"/>
  <c r="L20" i="9"/>
  <c r="M20" i="9" s="1"/>
  <c r="L38" i="9"/>
  <c r="M38" i="9" s="1"/>
  <c r="L21" i="9"/>
  <c r="M21" i="9" s="1"/>
  <c r="L31" i="9"/>
  <c r="M31" i="9" s="1"/>
  <c r="L12" i="9"/>
  <c r="M12" i="9" s="1"/>
  <c r="L17" i="9"/>
  <c r="M17" i="9" s="1"/>
  <c r="L22" i="9"/>
  <c r="M22" i="9" s="1"/>
  <c r="L36" i="9"/>
  <c r="M36" i="9" s="1"/>
  <c r="L37" i="9"/>
  <c r="M37" i="9" s="1"/>
  <c r="L40" i="9"/>
  <c r="M40" i="9" s="1"/>
  <c r="F40" i="17"/>
  <c r="F30" i="17"/>
  <c r="F16" i="17"/>
  <c r="F19" i="17"/>
  <c r="F33" i="17"/>
  <c r="G23" i="9"/>
  <c r="H23" i="9" s="1"/>
  <c r="G36" i="9"/>
  <c r="H36" i="9" s="1"/>
  <c r="G33" i="9"/>
  <c r="H33" i="9" s="1"/>
  <c r="G8" i="9"/>
  <c r="H8" i="9" s="1"/>
  <c r="G18" i="9"/>
  <c r="H18" i="9" s="1"/>
  <c r="G15" i="9"/>
  <c r="H15" i="9" s="1"/>
  <c r="G24" i="9"/>
  <c r="H24" i="9" s="1"/>
  <c r="G35" i="9"/>
  <c r="H35" i="9" s="1"/>
  <c r="G39" i="9"/>
  <c r="H39" i="9" s="1"/>
  <c r="G20" i="9"/>
  <c r="H20" i="9" s="1"/>
  <c r="G9" i="9"/>
  <c r="H9" i="9" s="1"/>
  <c r="G25" i="9"/>
  <c r="H25" i="9" s="1"/>
  <c r="G37" i="9"/>
  <c r="H37" i="9" s="1"/>
  <c r="G16" i="9"/>
  <c r="H16" i="9" s="1"/>
  <c r="G26" i="9"/>
  <c r="H26" i="9" s="1"/>
  <c r="G29" i="9"/>
  <c r="H29" i="9" s="1"/>
  <c r="G32" i="9"/>
  <c r="H32" i="9" s="1"/>
  <c r="G7" i="9"/>
  <c r="G40" i="9"/>
  <c r="H40" i="9" s="1"/>
  <c r="G31" i="9"/>
  <c r="H31" i="9" s="1"/>
  <c r="G22" i="9"/>
  <c r="H22" i="9" s="1"/>
  <c r="G21" i="9"/>
  <c r="H21" i="9" s="1"/>
  <c r="G34" i="9"/>
  <c r="H34" i="9" s="1"/>
  <c r="G13" i="9"/>
  <c r="H13" i="9" s="1"/>
  <c r="G10" i="9"/>
  <c r="H10" i="9" s="1"/>
  <c r="G19" i="9"/>
  <c r="H19" i="9" s="1"/>
  <c r="G30" i="9"/>
  <c r="H30" i="9" s="1"/>
  <c r="G28" i="9"/>
  <c r="H28" i="9" s="1"/>
  <c r="G12" i="9"/>
  <c r="H12" i="9" s="1"/>
  <c r="G14" i="9"/>
  <c r="H14" i="9" s="1"/>
  <c r="G27" i="9"/>
  <c r="H27" i="9" s="1"/>
  <c r="G38" i="9"/>
  <c r="H38" i="9" s="1"/>
  <c r="G11" i="9"/>
  <c r="H11" i="9" s="1"/>
  <c r="F15" i="18"/>
  <c r="F39" i="18"/>
  <c r="F27" i="17"/>
  <c r="F10" i="17"/>
  <c r="F38" i="17"/>
  <c r="F8" i="17"/>
  <c r="F34" i="20"/>
  <c r="F24" i="14"/>
  <c r="F19" i="14"/>
  <c r="F25" i="14"/>
  <c r="F23" i="14"/>
  <c r="V37" i="9"/>
  <c r="W37" i="9" s="1"/>
  <c r="V27" i="9"/>
  <c r="W27" i="9" s="1"/>
  <c r="V15" i="9"/>
  <c r="W15" i="9" s="1"/>
  <c r="V9" i="9"/>
  <c r="W9" i="9" s="1"/>
  <c r="V20" i="9"/>
  <c r="W20" i="9" s="1"/>
  <c r="V36" i="9"/>
  <c r="W36" i="9" s="1"/>
  <c r="V39" i="9"/>
  <c r="W39" i="9" s="1"/>
  <c r="V35" i="9"/>
  <c r="W35" i="9" s="1"/>
  <c r="V40" i="9"/>
  <c r="W40" i="9" s="1"/>
  <c r="V23" i="9"/>
  <c r="W23" i="9" s="1"/>
  <c r="V21" i="9"/>
  <c r="W21" i="9" s="1"/>
  <c r="V30" i="9"/>
  <c r="W30" i="9" s="1"/>
  <c r="V13" i="9"/>
  <c r="W13" i="9" s="1"/>
  <c r="V18" i="9"/>
  <c r="W18" i="9" s="1"/>
  <c r="V11" i="9"/>
  <c r="W11" i="9" s="1"/>
  <c r="V8" i="9"/>
  <c r="W8" i="9" s="1"/>
  <c r="V10" i="9"/>
  <c r="W10" i="9" s="1"/>
  <c r="V19" i="9"/>
  <c r="W19" i="9" s="1"/>
  <c r="V14" i="9"/>
  <c r="W14" i="9" s="1"/>
  <c r="V24" i="9"/>
  <c r="W24" i="9" s="1"/>
  <c r="V32" i="9"/>
  <c r="W32" i="9" s="1"/>
  <c r="V12" i="9"/>
  <c r="W12" i="9" s="1"/>
  <c r="V26" i="9"/>
  <c r="W26" i="9" s="1"/>
  <c r="V22" i="9"/>
  <c r="W22" i="9" s="1"/>
  <c r="V7" i="9"/>
  <c r="V28" i="9"/>
  <c r="W28" i="9" s="1"/>
  <c r="V16" i="9"/>
  <c r="W16" i="9" s="1"/>
  <c r="V34" i="9"/>
  <c r="W34" i="9" s="1"/>
  <c r="V17" i="9"/>
  <c r="W17" i="9" s="1"/>
  <c r="V38" i="9"/>
  <c r="W38" i="9" s="1"/>
  <c r="V31" i="9"/>
  <c r="W31" i="9" s="1"/>
  <c r="V25" i="9"/>
  <c r="W25" i="9" s="1"/>
  <c r="V29" i="9"/>
  <c r="W29" i="9" s="1"/>
  <c r="V33" i="9"/>
  <c r="W33" i="9" s="1"/>
  <c r="G17" i="9"/>
  <c r="H17" i="9" s="1"/>
  <c r="F17" i="16"/>
  <c r="F24" i="20"/>
  <c r="F13" i="18"/>
  <c r="F17" i="18"/>
  <c r="F27" i="18"/>
  <c r="F21" i="20"/>
  <c r="F19" i="20"/>
  <c r="F9" i="18"/>
  <c r="F36" i="18"/>
  <c r="F35" i="18"/>
  <c r="F14" i="20"/>
  <c r="F16" i="18"/>
  <c r="F8" i="20"/>
  <c r="F37" i="18"/>
  <c r="F26" i="18"/>
  <c r="F22" i="18"/>
  <c r="F10" i="18"/>
  <c r="F39" i="20"/>
  <c r="F25" i="20"/>
  <c r="F23" i="20"/>
  <c r="F40" i="20"/>
  <c r="F27" i="20"/>
  <c r="F31" i="20"/>
  <c r="F37" i="20"/>
  <c r="F37" i="15"/>
  <c r="F28" i="20"/>
  <c r="F28" i="15"/>
  <c r="F27" i="15"/>
  <c r="F26" i="20"/>
  <c r="F12" i="20"/>
  <c r="F39" i="15"/>
  <c r="F14" i="15"/>
  <c r="F9" i="16"/>
  <c r="F8" i="15"/>
  <c r="F23" i="16"/>
  <c r="F21" i="15"/>
  <c r="F35" i="16"/>
  <c r="F39" i="16"/>
  <c r="F22" i="16"/>
  <c r="F30" i="16"/>
  <c r="F7" i="16"/>
  <c r="F36" i="16"/>
  <c r="F11" i="16"/>
  <c r="F37" i="16"/>
  <c r="F31" i="16"/>
  <c r="F21" i="16"/>
  <c r="F24" i="16"/>
  <c r="F26" i="16"/>
  <c r="F33" i="16"/>
  <c r="F10" i="16"/>
  <c r="F14" i="16"/>
  <c r="F15" i="16"/>
  <c r="F27" i="16"/>
  <c r="F12" i="16"/>
  <c r="F29" i="16"/>
  <c r="F18" i="16"/>
  <c r="F38" i="16"/>
  <c r="F16" i="16"/>
  <c r="F32" i="16"/>
  <c r="F13" i="16"/>
  <c r="F34" i="16"/>
  <c r="F20" i="16"/>
  <c r="F40" i="16"/>
  <c r="F19" i="16"/>
  <c r="F25" i="16"/>
  <c r="F28" i="16"/>
  <c r="F38" i="15"/>
  <c r="F23" i="15"/>
  <c r="F36" i="15"/>
  <c r="F29" i="15"/>
  <c r="F26" i="15"/>
  <c r="F15" i="15"/>
  <c r="F11" i="15"/>
  <c r="F7" i="15"/>
  <c r="F17" i="15"/>
  <c r="F33" i="15"/>
  <c r="F16" i="15"/>
  <c r="F18" i="15"/>
  <c r="F20" i="15"/>
  <c r="F16" i="20"/>
  <c r="F30" i="20"/>
  <c r="F17" i="20"/>
  <c r="F29" i="20"/>
  <c r="F38" i="20"/>
  <c r="F22" i="20"/>
  <c r="F15" i="20"/>
  <c r="F13" i="20"/>
  <c r="F11" i="20"/>
  <c r="F35" i="20"/>
  <c r="F18" i="20"/>
  <c r="F9" i="20"/>
  <c r="F33" i="20"/>
  <c r="F10" i="20"/>
  <c r="F36" i="20"/>
  <c r="F20" i="20"/>
  <c r="F32" i="20"/>
  <c r="F25" i="15"/>
  <c r="F32" i="15"/>
  <c r="F31" i="15"/>
  <c r="F24" i="15"/>
  <c r="F10" i="15"/>
  <c r="F30" i="15"/>
  <c r="F13" i="15"/>
  <c r="F22" i="15"/>
  <c r="F19" i="15"/>
  <c r="F40" i="15"/>
  <c r="F34" i="15"/>
  <c r="F9" i="15"/>
  <c r="F35" i="15"/>
  <c r="E45" i="21"/>
  <c r="C4" i="4"/>
  <c r="F21" i="19"/>
  <c r="F33" i="19"/>
  <c r="F9" i="19"/>
  <c r="F30" i="19"/>
  <c r="F18" i="19"/>
  <c r="F25" i="19"/>
  <c r="F11" i="19"/>
  <c r="F15" i="19"/>
  <c r="F40" i="19"/>
  <c r="F36" i="19"/>
  <c r="F16" i="19"/>
  <c r="F27" i="19"/>
  <c r="F39" i="19"/>
  <c r="F8" i="19"/>
  <c r="F29" i="19"/>
  <c r="F28" i="19"/>
  <c r="F7" i="19"/>
  <c r="F10" i="19"/>
  <c r="F32" i="19"/>
  <c r="F37" i="19"/>
  <c r="F35" i="19"/>
  <c r="F34" i="19"/>
  <c r="F13" i="19"/>
  <c r="F22" i="19"/>
  <c r="F20" i="19"/>
  <c r="F12" i="19"/>
  <c r="F19" i="19"/>
  <c r="F14" i="19"/>
  <c r="F23" i="19"/>
  <c r="F38" i="19"/>
  <c r="F31" i="19"/>
  <c r="F17" i="19"/>
  <c r="C4" i="15"/>
  <c r="G12" i="15" s="1"/>
  <c r="C4" i="18"/>
  <c r="G11" i="18" s="1"/>
  <c r="C4" i="20"/>
  <c r="C4" i="19"/>
  <c r="C4" i="17"/>
  <c r="C4" i="16"/>
  <c r="C4" i="14"/>
  <c r="G7" i="14" s="1"/>
  <c r="G10" i="17" l="1"/>
  <c r="I41" i="8"/>
  <c r="X11" i="9"/>
  <c r="Y11" i="9" s="1"/>
  <c r="F41" i="14"/>
  <c r="X32" i="9"/>
  <c r="N38" i="1" s="1"/>
  <c r="X13" i="9"/>
  <c r="N19" i="1" s="1"/>
  <c r="G36" i="14"/>
  <c r="F31" i="1" s="1"/>
  <c r="X17" i="9"/>
  <c r="Y17" i="9" s="1"/>
  <c r="F41" i="17"/>
  <c r="X33" i="9"/>
  <c r="N39" i="1" s="1"/>
  <c r="X30" i="9"/>
  <c r="Y30" i="9" s="1"/>
  <c r="X40" i="9"/>
  <c r="Y40" i="9" s="1"/>
  <c r="X9" i="9"/>
  <c r="Y9" i="9" s="1"/>
  <c r="F41" i="18"/>
  <c r="X20" i="9"/>
  <c r="Y20" i="9" s="1"/>
  <c r="X19" i="9"/>
  <c r="H7" i="9"/>
  <c r="G41" i="9"/>
  <c r="X10" i="9"/>
  <c r="X39" i="9"/>
  <c r="X38" i="9"/>
  <c r="X35" i="9"/>
  <c r="X27" i="9"/>
  <c r="X34" i="9"/>
  <c r="X26" i="9"/>
  <c r="X24" i="9"/>
  <c r="X14" i="9"/>
  <c r="X21" i="9"/>
  <c r="X16" i="9"/>
  <c r="X15" i="9"/>
  <c r="G26" i="16"/>
  <c r="H26" i="16" s="1"/>
  <c r="V41" i="9"/>
  <c r="W7" i="9"/>
  <c r="W41" i="9" s="1"/>
  <c r="R7" i="9"/>
  <c r="R41" i="9" s="1"/>
  <c r="Q41" i="9"/>
  <c r="X29" i="9"/>
  <c r="X12" i="9"/>
  <c r="X22" i="9"/>
  <c r="X37" i="9"/>
  <c r="X18" i="9"/>
  <c r="X36" i="9"/>
  <c r="X23" i="9"/>
  <c r="M7" i="9"/>
  <c r="M41" i="9" s="1"/>
  <c r="L41" i="9"/>
  <c r="X28" i="9"/>
  <c r="X31" i="9"/>
  <c r="X25" i="9"/>
  <c r="X8" i="9"/>
  <c r="G41" i="8"/>
  <c r="J7" i="8" s="1"/>
  <c r="K7" i="8" s="1"/>
  <c r="G31" i="20"/>
  <c r="K32" i="1" s="1"/>
  <c r="F41" i="16"/>
  <c r="F41" i="20"/>
  <c r="F41" i="15"/>
  <c r="F45" i="21"/>
  <c r="D26" i="1"/>
  <c r="D47" i="1" s="1"/>
  <c r="G10" i="18"/>
  <c r="L16" i="1" s="1"/>
  <c r="G33" i="15"/>
  <c r="H33" i="15" s="1"/>
  <c r="G26" i="15"/>
  <c r="G30" i="1" s="1"/>
  <c r="G27" i="15"/>
  <c r="G24" i="1" s="1"/>
  <c r="G20" i="18"/>
  <c r="L39" i="1" s="1"/>
  <c r="G29" i="18"/>
  <c r="L44" i="1" s="1"/>
  <c r="G21" i="14"/>
  <c r="F27" i="1" s="1"/>
  <c r="G34" i="20"/>
  <c r="H34" i="20" s="1"/>
  <c r="G18" i="20"/>
  <c r="K19" i="1" s="1"/>
  <c r="G25" i="14"/>
  <c r="H25" i="14" s="1"/>
  <c r="G35" i="20"/>
  <c r="K17" i="1" s="1"/>
  <c r="G7" i="19"/>
  <c r="H7" i="19" s="1"/>
  <c r="G15" i="15"/>
  <c r="G44" i="1" s="1"/>
  <c r="G40" i="18"/>
  <c r="L18" i="1" s="1"/>
  <c r="G9" i="15"/>
  <c r="G17" i="1" s="1"/>
  <c r="G7" i="15"/>
  <c r="G40" i="1" s="1"/>
  <c r="G27" i="20"/>
  <c r="K41" i="1" s="1"/>
  <c r="G28" i="15"/>
  <c r="H28" i="15" s="1"/>
  <c r="G25" i="15"/>
  <c r="H25" i="15" s="1"/>
  <c r="G29" i="16"/>
  <c r="H29" i="16" s="1"/>
  <c r="G31" i="15"/>
  <c r="G32" i="1" s="1"/>
  <c r="G10" i="15"/>
  <c r="G45" i="1" s="1"/>
  <c r="G30" i="15"/>
  <c r="G29" i="1" s="1"/>
  <c r="G22" i="15"/>
  <c r="H22" i="15" s="1"/>
  <c r="G31" i="14"/>
  <c r="H31" i="14" s="1"/>
  <c r="G8" i="15"/>
  <c r="H8" i="15" s="1"/>
  <c r="G24" i="15"/>
  <c r="G37" i="1" s="1"/>
  <c r="G16" i="19"/>
  <c r="J40" i="1" s="1"/>
  <c r="G35" i="15"/>
  <c r="H35" i="15" s="1"/>
  <c r="G39" i="15"/>
  <c r="G27" i="1" s="1"/>
  <c r="G18" i="15"/>
  <c r="H18" i="15" s="1"/>
  <c r="G25" i="20"/>
  <c r="K29" i="1" s="1"/>
  <c r="G36" i="15"/>
  <c r="H36" i="15" s="1"/>
  <c r="G29" i="15"/>
  <c r="G23" i="1" s="1"/>
  <c r="G34" i="15"/>
  <c r="H34" i="15" s="1"/>
  <c r="G39" i="14"/>
  <c r="H39" i="14" s="1"/>
  <c r="G38" i="14"/>
  <c r="F22" i="1" s="1"/>
  <c r="G40" i="14"/>
  <c r="F21" i="1" s="1"/>
  <c r="G10" i="14"/>
  <c r="H10" i="14" s="1"/>
  <c r="G11" i="14"/>
  <c r="H11" i="14" s="1"/>
  <c r="G29" i="14"/>
  <c r="H29" i="14" s="1"/>
  <c r="G35" i="14"/>
  <c r="F32" i="1" s="1"/>
  <c r="G28" i="14"/>
  <c r="F24" i="1" s="1"/>
  <c r="G7" i="17"/>
  <c r="I44" i="1" s="1"/>
  <c r="G19" i="20"/>
  <c r="K30" i="1" s="1"/>
  <c r="G22" i="14"/>
  <c r="F39" i="1" s="1"/>
  <c r="G14" i="14"/>
  <c r="H14" i="14" s="1"/>
  <c r="G17" i="17"/>
  <c r="I26" i="1" s="1"/>
  <c r="G28" i="20"/>
  <c r="K31" i="1" s="1"/>
  <c r="G17" i="18"/>
  <c r="L31" i="1" s="1"/>
  <c r="G30" i="14"/>
  <c r="H30" i="14" s="1"/>
  <c r="G27" i="14"/>
  <c r="H27" i="14" s="1"/>
  <c r="G17" i="14"/>
  <c r="F42" i="1" s="1"/>
  <c r="G12" i="14"/>
  <c r="F40" i="1" s="1"/>
  <c r="F41" i="19"/>
  <c r="G26" i="14"/>
  <c r="F30" i="1" s="1"/>
  <c r="G20" i="14"/>
  <c r="F25" i="1" s="1"/>
  <c r="G13" i="14"/>
  <c r="F37" i="1" s="1"/>
  <c r="G18" i="14"/>
  <c r="H18" i="14" s="1"/>
  <c r="G29" i="17"/>
  <c r="I29" i="1" s="1"/>
  <c r="G29" i="20"/>
  <c r="H29" i="20" s="1"/>
  <c r="G21" i="18"/>
  <c r="H21" i="18" s="1"/>
  <c r="E16" i="4"/>
  <c r="F16" i="4" s="1"/>
  <c r="E37" i="4"/>
  <c r="F37" i="4" s="1"/>
  <c r="E19" i="4"/>
  <c r="E42" i="1" s="1"/>
  <c r="E29" i="4"/>
  <c r="E37" i="1" s="1"/>
  <c r="E22" i="4"/>
  <c r="F22" i="4" s="1"/>
  <c r="E20" i="4"/>
  <c r="F20" i="4" s="1"/>
  <c r="E24" i="4"/>
  <c r="F24" i="4" s="1"/>
  <c r="E8" i="4"/>
  <c r="F8" i="4" s="1"/>
  <c r="E32" i="4"/>
  <c r="E31" i="1" s="1"/>
  <c r="E14" i="4"/>
  <c r="E43" i="1" s="1"/>
  <c r="E30" i="4"/>
  <c r="E28" i="1" s="1"/>
  <c r="E9" i="4"/>
  <c r="F9" i="4" s="1"/>
  <c r="E26" i="4"/>
  <c r="E44" i="1" s="1"/>
  <c r="E40" i="4"/>
  <c r="E13" i="1" s="1"/>
  <c r="E27" i="4"/>
  <c r="F27" i="4" s="1"/>
  <c r="E23" i="4"/>
  <c r="E34" i="1" s="1"/>
  <c r="E17" i="4"/>
  <c r="E39" i="1" s="1"/>
  <c r="E13" i="4"/>
  <c r="E32" i="1" s="1"/>
  <c r="E39" i="4"/>
  <c r="F39" i="4" s="1"/>
  <c r="E10" i="4"/>
  <c r="E41" i="1" s="1"/>
  <c r="E31" i="4"/>
  <c r="E30" i="1" s="1"/>
  <c r="E28" i="4"/>
  <c r="E45" i="1" s="1"/>
  <c r="E38" i="4"/>
  <c r="E17" i="1" s="1"/>
  <c r="E25" i="4"/>
  <c r="F25" i="4" s="1"/>
  <c r="E21" i="4"/>
  <c r="F21" i="4" s="1"/>
  <c r="E11" i="4"/>
  <c r="E22" i="1" s="1"/>
  <c r="E33" i="4"/>
  <c r="E20" i="1" s="1"/>
  <c r="E12" i="4"/>
  <c r="F12" i="4" s="1"/>
  <c r="E34" i="4"/>
  <c r="F34" i="4" s="1"/>
  <c r="E18" i="4"/>
  <c r="E27" i="1" s="1"/>
  <c r="E7" i="4"/>
  <c r="E36" i="4"/>
  <c r="E16" i="1" s="1"/>
  <c r="E35" i="4"/>
  <c r="E40" i="1" s="1"/>
  <c r="E15" i="4"/>
  <c r="E36" i="1" s="1"/>
  <c r="G32" i="20"/>
  <c r="K20" i="1" s="1"/>
  <c r="G40" i="19"/>
  <c r="J13" i="1" s="1"/>
  <c r="G24" i="20"/>
  <c r="H24" i="20" s="1"/>
  <c r="G38" i="20"/>
  <c r="K23" i="1" s="1"/>
  <c r="G12" i="20"/>
  <c r="H12" i="20" s="1"/>
  <c r="G23" i="20"/>
  <c r="H23" i="20" s="1"/>
  <c r="G19" i="18"/>
  <c r="L40" i="1" s="1"/>
  <c r="G13" i="20"/>
  <c r="H13" i="20" s="1"/>
  <c r="G20" i="20"/>
  <c r="H20" i="20" s="1"/>
  <c r="G14" i="20"/>
  <c r="K43" i="1" s="1"/>
  <c r="G30" i="20"/>
  <c r="K37" i="1" s="1"/>
  <c r="G32" i="15"/>
  <c r="G31" i="1" s="1"/>
  <c r="G14" i="15"/>
  <c r="G34" i="1" s="1"/>
  <c r="G37" i="15"/>
  <c r="H37" i="15" s="1"/>
  <c r="G31" i="18"/>
  <c r="L22" i="1" s="1"/>
  <c r="G28" i="18"/>
  <c r="L36" i="1" s="1"/>
  <c r="G9" i="19"/>
  <c r="J42" i="1" s="1"/>
  <c r="G26" i="20"/>
  <c r="H26" i="20" s="1"/>
  <c r="G10" i="20"/>
  <c r="K40" i="1" s="1"/>
  <c r="G37" i="20"/>
  <c r="H37" i="20" s="1"/>
  <c r="G40" i="20"/>
  <c r="H40" i="20" s="1"/>
  <c r="G23" i="18"/>
  <c r="H23" i="18" s="1"/>
  <c r="G17" i="20"/>
  <c r="K46" i="1" s="1"/>
  <c r="G36" i="20"/>
  <c r="H36" i="20" s="1"/>
  <c r="G15" i="20"/>
  <c r="K34" i="1" s="1"/>
  <c r="G21" i="20"/>
  <c r="K21" i="1" s="1"/>
  <c r="G32" i="19"/>
  <c r="J20" i="1" s="1"/>
  <c r="G23" i="15"/>
  <c r="G22" i="1" s="1"/>
  <c r="G21" i="15"/>
  <c r="G41" i="1" s="1"/>
  <c r="G16" i="15"/>
  <c r="G28" i="1" s="1"/>
  <c r="G38" i="15"/>
  <c r="G15" i="1" s="1"/>
  <c r="G9" i="18"/>
  <c r="L14" i="1" s="1"/>
  <c r="G12" i="18"/>
  <c r="L38" i="1" s="1"/>
  <c r="G22" i="20"/>
  <c r="K39" i="1" s="1"/>
  <c r="G16" i="20"/>
  <c r="K45" i="1" s="1"/>
  <c r="G8" i="20"/>
  <c r="H8" i="20" s="1"/>
  <c r="G39" i="20"/>
  <c r="H39" i="20" s="1"/>
  <c r="G33" i="20"/>
  <c r="H33" i="20" s="1"/>
  <c r="G34" i="19"/>
  <c r="H34" i="19" s="1"/>
  <c r="G35" i="18"/>
  <c r="L27" i="1" s="1"/>
  <c r="G27" i="18"/>
  <c r="H27" i="18" s="1"/>
  <c r="G11" i="20"/>
  <c r="K25" i="1" s="1"/>
  <c r="G7" i="20"/>
  <c r="H7" i="20" s="1"/>
  <c r="G9" i="20"/>
  <c r="H9" i="20" s="1"/>
  <c r="G20" i="19"/>
  <c r="H20" i="19" s="1"/>
  <c r="G40" i="15"/>
  <c r="G13" i="1" s="1"/>
  <c r="G19" i="15"/>
  <c r="G46" i="1" s="1"/>
  <c r="G17" i="15"/>
  <c r="G26" i="1" s="1"/>
  <c r="G11" i="15"/>
  <c r="H11" i="15" s="1"/>
  <c r="G37" i="18"/>
  <c r="H37" i="18" s="1"/>
  <c r="G22" i="18"/>
  <c r="L17" i="1" s="1"/>
  <c r="G16" i="16"/>
  <c r="H35" i="1" s="1"/>
  <c r="G37" i="16"/>
  <c r="H23" i="1" s="1"/>
  <c r="G24" i="17"/>
  <c r="I16" i="1" s="1"/>
  <c r="G27" i="16"/>
  <c r="H41" i="1" s="1"/>
  <c r="G38" i="19"/>
  <c r="H38" i="19" s="1"/>
  <c r="G20" i="17"/>
  <c r="H20" i="17" s="1"/>
  <c r="G35" i="19"/>
  <c r="H35" i="19" s="1"/>
  <c r="G13" i="15"/>
  <c r="G40" i="17"/>
  <c r="H40" i="17" s="1"/>
  <c r="G38" i="17"/>
  <c r="I17" i="1" s="1"/>
  <c r="G18" i="19"/>
  <c r="J39" i="1" s="1"/>
  <c r="G28" i="17"/>
  <c r="I33" i="1" s="1"/>
  <c r="G23" i="19"/>
  <c r="H23" i="19" s="1"/>
  <c r="G20" i="15"/>
  <c r="H20" i="15" s="1"/>
  <c r="G8" i="16"/>
  <c r="H8" i="16" s="1"/>
  <c r="G36" i="17"/>
  <c r="G22" i="17"/>
  <c r="H22" i="17" s="1"/>
  <c r="G25" i="17"/>
  <c r="I38" i="1" s="1"/>
  <c r="G15" i="17"/>
  <c r="H15" i="17" s="1"/>
  <c r="G18" i="17"/>
  <c r="I18" i="1" s="1"/>
  <c r="G33" i="16"/>
  <c r="H46" i="1" s="1"/>
  <c r="G11" i="16"/>
  <c r="H11" i="16" s="1"/>
  <c r="G7" i="16"/>
  <c r="H7" i="16" s="1"/>
  <c r="G34" i="16"/>
  <c r="H45" i="1" s="1"/>
  <c r="G32" i="17"/>
  <c r="H32" i="17" s="1"/>
  <c r="G16" i="17"/>
  <c r="H16" i="17" s="1"/>
  <c r="G9" i="17"/>
  <c r="I40" i="1" s="1"/>
  <c r="G23" i="17"/>
  <c r="I15" i="1" s="1"/>
  <c r="G39" i="17"/>
  <c r="I35" i="1" s="1"/>
  <c r="G30" i="16"/>
  <c r="H34" i="1" s="1"/>
  <c r="G20" i="16"/>
  <c r="H20" i="16" s="1"/>
  <c r="G25" i="16"/>
  <c r="H43" i="1" s="1"/>
  <c r="G12" i="16"/>
  <c r="H30" i="1" s="1"/>
  <c r="G31" i="19"/>
  <c r="J18" i="1" s="1"/>
  <c r="G25" i="19"/>
  <c r="H25" i="19" s="1"/>
  <c r="G33" i="19"/>
  <c r="H33" i="19" s="1"/>
  <c r="G30" i="18"/>
  <c r="L34" i="1" s="1"/>
  <c r="G34" i="18"/>
  <c r="H34" i="18" s="1"/>
  <c r="G8" i="18"/>
  <c r="L20" i="1" s="1"/>
  <c r="G13" i="18"/>
  <c r="L21" i="1" s="1"/>
  <c r="G22" i="16"/>
  <c r="H22" i="16" s="1"/>
  <c r="G40" i="16"/>
  <c r="H40" i="16" s="1"/>
  <c r="G12" i="17"/>
  <c r="I23" i="1" s="1"/>
  <c r="G31" i="17"/>
  <c r="H31" i="17" s="1"/>
  <c r="G18" i="16"/>
  <c r="H15" i="1" s="1"/>
  <c r="G17" i="16"/>
  <c r="H17" i="16" s="1"/>
  <c r="G26" i="17"/>
  <c r="I41" i="1" s="1"/>
  <c r="G27" i="17"/>
  <c r="I42" i="1" s="1"/>
  <c r="G13" i="17"/>
  <c r="I37" i="1" s="1"/>
  <c r="G35" i="17"/>
  <c r="H35" i="17" s="1"/>
  <c r="G9" i="16"/>
  <c r="H16" i="1" s="1"/>
  <c r="G31" i="16"/>
  <c r="H31" i="16" s="1"/>
  <c r="G35" i="16"/>
  <c r="H33" i="1" s="1"/>
  <c r="G32" i="16"/>
  <c r="H32" i="16" s="1"/>
  <c r="G39" i="16"/>
  <c r="H18" i="1" s="1"/>
  <c r="G30" i="19"/>
  <c r="J35" i="1" s="1"/>
  <c r="G22" i="19"/>
  <c r="J21" i="1" s="1"/>
  <c r="G14" i="19"/>
  <c r="J41" i="1" s="1"/>
  <c r="G18" i="18"/>
  <c r="L15" i="1" s="1"/>
  <c r="G15" i="18"/>
  <c r="L30" i="1" s="1"/>
  <c r="G36" i="18"/>
  <c r="H36" i="18" s="1"/>
  <c r="G14" i="18"/>
  <c r="L35" i="1" s="1"/>
  <c r="G8" i="17"/>
  <c r="I45" i="1" s="1"/>
  <c r="G33" i="17"/>
  <c r="I22" i="1" s="1"/>
  <c r="G19" i="17"/>
  <c r="I24" i="1" s="1"/>
  <c r="G34" i="17"/>
  <c r="H34" i="17" s="1"/>
  <c r="G28" i="16"/>
  <c r="H28" i="16" s="1"/>
  <c r="G10" i="16"/>
  <c r="H19" i="1" s="1"/>
  <c r="G21" i="16"/>
  <c r="H21" i="16" s="1"/>
  <c r="G36" i="16"/>
  <c r="H42" i="1" s="1"/>
  <c r="G21" i="19"/>
  <c r="J31" i="1" s="1"/>
  <c r="G19" i="19"/>
  <c r="H19" i="19" s="1"/>
  <c r="G28" i="19"/>
  <c r="H28" i="19" s="1"/>
  <c r="G7" i="18"/>
  <c r="H7" i="18" s="1"/>
  <c r="G16" i="18"/>
  <c r="L25" i="1" s="1"/>
  <c r="G26" i="18"/>
  <c r="L29" i="1" s="1"/>
  <c r="G24" i="18"/>
  <c r="H24" i="18" s="1"/>
  <c r="G33" i="18"/>
  <c r="L26" i="1" s="1"/>
  <c r="F19" i="21"/>
  <c r="F13" i="21"/>
  <c r="F15" i="21"/>
  <c r="F8" i="21"/>
  <c r="F16" i="21"/>
  <c r="F27" i="21"/>
  <c r="F33" i="21"/>
  <c r="F23" i="21"/>
  <c r="F26" i="21"/>
  <c r="F17" i="21"/>
  <c r="F35" i="21"/>
  <c r="F11" i="21"/>
  <c r="F12" i="21"/>
  <c r="F14" i="21"/>
  <c r="F41" i="21"/>
  <c r="F40" i="21"/>
  <c r="F32" i="21"/>
  <c r="F22" i="21"/>
  <c r="F42" i="21"/>
  <c r="F30" i="21"/>
  <c r="F9" i="21"/>
  <c r="F10" i="21"/>
  <c r="F37" i="21"/>
  <c r="F25" i="21"/>
  <c r="F28" i="21"/>
  <c r="F18" i="21"/>
  <c r="F20" i="21"/>
  <c r="F21" i="21"/>
  <c r="F36" i="21"/>
  <c r="F38" i="21"/>
  <c r="F29" i="21"/>
  <c r="F31" i="21"/>
  <c r="F24" i="21"/>
  <c r="G23" i="16"/>
  <c r="H23" i="16" s="1"/>
  <c r="G21" i="17"/>
  <c r="I21" i="1" s="1"/>
  <c r="G37" i="17"/>
  <c r="I25" i="1" s="1"/>
  <c r="G19" i="16"/>
  <c r="H28" i="1" s="1"/>
  <c r="G13" i="16"/>
  <c r="H38" i="1" s="1"/>
  <c r="G24" i="16"/>
  <c r="H44" i="1" s="1"/>
  <c r="G30" i="17"/>
  <c r="H30" i="17" s="1"/>
  <c r="G14" i="17"/>
  <c r="I46" i="1" s="1"/>
  <c r="G11" i="17"/>
  <c r="I34" i="1" s="1"/>
  <c r="G38" i="16"/>
  <c r="H38" i="16" s="1"/>
  <c r="G14" i="16"/>
  <c r="H20" i="1" s="1"/>
  <c r="G15" i="16"/>
  <c r="H40" i="1" s="1"/>
  <c r="G15" i="19"/>
  <c r="J37" i="1" s="1"/>
  <c r="G17" i="19"/>
  <c r="J33" i="1" s="1"/>
  <c r="G13" i="19"/>
  <c r="J34" i="1" s="1"/>
  <c r="G32" i="18"/>
  <c r="H32" i="18" s="1"/>
  <c r="G38" i="18"/>
  <c r="L42" i="1" s="1"/>
  <c r="G39" i="18"/>
  <c r="H39" i="18" s="1"/>
  <c r="G25" i="18"/>
  <c r="L32" i="1" s="1"/>
  <c r="G15" i="14"/>
  <c r="F18" i="1" s="1"/>
  <c r="G34" i="14"/>
  <c r="H34" i="14" s="1"/>
  <c r="G23" i="14"/>
  <c r="H23" i="14" s="1"/>
  <c r="G37" i="14"/>
  <c r="F29" i="1" s="1"/>
  <c r="G27" i="19"/>
  <c r="H27" i="19" s="1"/>
  <c r="G29" i="19"/>
  <c r="J15" i="1" s="1"/>
  <c r="G24" i="19"/>
  <c r="H24" i="19" s="1"/>
  <c r="G39" i="19"/>
  <c r="H39" i="19" s="1"/>
  <c r="G24" i="14"/>
  <c r="H24" i="14" s="1"/>
  <c r="G33" i="14"/>
  <c r="H33" i="14" s="1"/>
  <c r="G9" i="14"/>
  <c r="H9" i="14" s="1"/>
  <c r="G19" i="14"/>
  <c r="F43" i="1" s="1"/>
  <c r="G26" i="19"/>
  <c r="J26" i="1" s="1"/>
  <c r="G12" i="19"/>
  <c r="H12" i="19" s="1"/>
  <c r="G37" i="19"/>
  <c r="J24" i="1" s="1"/>
  <c r="G36" i="19"/>
  <c r="J17" i="1" s="1"/>
  <c r="G8" i="14"/>
  <c r="F45" i="1" s="1"/>
  <c r="H7" i="14"/>
  <c r="G16" i="14"/>
  <c r="H16" i="14" s="1"/>
  <c r="G32" i="14"/>
  <c r="F28" i="1" s="1"/>
  <c r="G11" i="19"/>
  <c r="H11" i="19" s="1"/>
  <c r="G8" i="19"/>
  <c r="H8" i="19" s="1"/>
  <c r="G10" i="19"/>
  <c r="J43" i="1" s="1"/>
  <c r="I30" i="1"/>
  <c r="H10" i="17"/>
  <c r="G36" i="1"/>
  <c r="H12" i="15"/>
  <c r="L19" i="1"/>
  <c r="H11" i="18"/>
  <c r="N23" i="1" l="1"/>
  <c r="H36" i="14"/>
  <c r="N26" i="1"/>
  <c r="N15" i="1"/>
  <c r="N17" i="1"/>
  <c r="H29" i="1"/>
  <c r="Y32" i="9"/>
  <c r="Y33" i="9"/>
  <c r="Y13" i="9"/>
  <c r="N36" i="1"/>
  <c r="H31" i="20"/>
  <c r="N46" i="1"/>
  <c r="Y26" i="9"/>
  <c r="N32" i="1"/>
  <c r="N25" i="1"/>
  <c r="Y19" i="9"/>
  <c r="Y18" i="9"/>
  <c r="N24" i="1"/>
  <c r="Y27" i="9"/>
  <c r="N34" i="1"/>
  <c r="N43" i="1"/>
  <c r="Y37" i="9"/>
  <c r="Y15" i="9"/>
  <c r="N22" i="1"/>
  <c r="Y8" i="9"/>
  <c r="N14" i="1"/>
  <c r="Y23" i="9"/>
  <c r="N29" i="1"/>
  <c r="Y22" i="9"/>
  <c r="N28" i="1"/>
  <c r="Y16" i="9"/>
  <c r="N21" i="1"/>
  <c r="Y38" i="9"/>
  <c r="N44" i="1"/>
  <c r="N31" i="1"/>
  <c r="Y25" i="9"/>
  <c r="N18" i="1"/>
  <c r="Y12" i="9"/>
  <c r="N27" i="1"/>
  <c r="Y21" i="9"/>
  <c r="N45" i="1"/>
  <c r="Y39" i="9"/>
  <c r="X7" i="9"/>
  <c r="N13" i="1" s="1"/>
  <c r="H41" i="9"/>
  <c r="J39" i="8"/>
  <c r="K39" i="8" s="1"/>
  <c r="J15" i="8"/>
  <c r="K15" i="8" s="1"/>
  <c r="J23" i="8"/>
  <c r="K23" i="8" s="1"/>
  <c r="J38" i="8"/>
  <c r="K38" i="8" s="1"/>
  <c r="J26" i="8"/>
  <c r="K26" i="8" s="1"/>
  <c r="J19" i="8"/>
  <c r="K19" i="8" s="1"/>
  <c r="J8" i="8"/>
  <c r="K8" i="8" s="1"/>
  <c r="J16" i="8"/>
  <c r="K16" i="8" s="1"/>
  <c r="J9" i="8"/>
  <c r="K9" i="8" s="1"/>
  <c r="J28" i="8"/>
  <c r="K28" i="8" s="1"/>
  <c r="J34" i="8"/>
  <c r="K34" i="8" s="1"/>
  <c r="J40" i="8"/>
  <c r="K40" i="8" s="1"/>
  <c r="J27" i="8"/>
  <c r="K27" i="8" s="1"/>
  <c r="J35" i="8"/>
  <c r="K35" i="8" s="1"/>
  <c r="J32" i="8"/>
  <c r="K32" i="8" s="1"/>
  <c r="J25" i="8"/>
  <c r="K25" i="8" s="1"/>
  <c r="J20" i="8"/>
  <c r="K20" i="8" s="1"/>
  <c r="J24" i="8"/>
  <c r="K24" i="8" s="1"/>
  <c r="J17" i="8"/>
  <c r="K17" i="8" s="1"/>
  <c r="J11" i="8"/>
  <c r="K11" i="8" s="1"/>
  <c r="J12" i="8"/>
  <c r="K12" i="8" s="1"/>
  <c r="J37" i="8"/>
  <c r="K37" i="8" s="1"/>
  <c r="J13" i="8"/>
  <c r="K13" i="8" s="1"/>
  <c r="J30" i="8"/>
  <c r="K30" i="8" s="1"/>
  <c r="J14" i="8"/>
  <c r="K14" i="8" s="1"/>
  <c r="J33" i="8"/>
  <c r="K33" i="8" s="1"/>
  <c r="J21" i="8"/>
  <c r="K21" i="8" s="1"/>
  <c r="J31" i="8"/>
  <c r="K31" i="8" s="1"/>
  <c r="J10" i="8"/>
  <c r="K10" i="8" s="1"/>
  <c r="J36" i="8"/>
  <c r="K36" i="8" s="1"/>
  <c r="J18" i="8"/>
  <c r="K18" i="8" s="1"/>
  <c r="J22" i="8"/>
  <c r="K22" i="8" s="1"/>
  <c r="J29" i="8"/>
  <c r="K29" i="8" s="1"/>
  <c r="Y31" i="9"/>
  <c r="N37" i="1"/>
  <c r="N35" i="1"/>
  <c r="Y29" i="9"/>
  <c r="Y14" i="9"/>
  <c r="N20" i="1"/>
  <c r="Y10" i="9"/>
  <c r="N16" i="1"/>
  <c r="N40" i="1"/>
  <c r="Y34" i="9"/>
  <c r="N41" i="1"/>
  <c r="Y35" i="9"/>
  <c r="N33" i="1"/>
  <c r="Y28" i="9"/>
  <c r="Y36" i="9"/>
  <c r="N42" i="1"/>
  <c r="Y24" i="9"/>
  <c r="N30" i="1"/>
  <c r="H20" i="18"/>
  <c r="H27" i="15"/>
  <c r="H26" i="15"/>
  <c r="H10" i="18"/>
  <c r="E41" i="4"/>
  <c r="F41" i="4" s="1"/>
  <c r="G33" i="1"/>
  <c r="H29" i="18"/>
  <c r="H40" i="14"/>
  <c r="K42" i="1"/>
  <c r="H17" i="14"/>
  <c r="J27" i="1"/>
  <c r="H7" i="15"/>
  <c r="I19" i="1"/>
  <c r="H18" i="20"/>
  <c r="L41" i="1"/>
  <c r="H9" i="19"/>
  <c r="G20" i="1"/>
  <c r="H7" i="17"/>
  <c r="F20" i="1"/>
  <c r="H15" i="19"/>
  <c r="H26" i="14"/>
  <c r="F19" i="1"/>
  <c r="G42" i="1"/>
  <c r="H28" i="20"/>
  <c r="H15" i="15"/>
  <c r="H35" i="20"/>
  <c r="H19" i="16"/>
  <c r="J46" i="1"/>
  <c r="H21" i="14"/>
  <c r="H37" i="1"/>
  <c r="H29" i="15"/>
  <c r="G19" i="1"/>
  <c r="H27" i="20"/>
  <c r="G16" i="1"/>
  <c r="H10" i="19"/>
  <c r="H15" i="20"/>
  <c r="G39" i="1"/>
  <c r="H17" i="15"/>
  <c r="H9" i="15"/>
  <c r="G41" i="18"/>
  <c r="H41" i="18" s="1"/>
  <c r="H28" i="18"/>
  <c r="F46" i="1"/>
  <c r="H11" i="20"/>
  <c r="H9" i="16"/>
  <c r="G38" i="1"/>
  <c r="K24" i="1"/>
  <c r="H24" i="15"/>
  <c r="I20" i="1"/>
  <c r="H24" i="1"/>
  <c r="H22" i="14"/>
  <c r="H17" i="19"/>
  <c r="H17" i="1"/>
  <c r="F28" i="4"/>
  <c r="H40" i="18"/>
  <c r="F15" i="1"/>
  <c r="K33" i="1"/>
  <c r="H11" i="17"/>
  <c r="F40" i="4"/>
  <c r="J19" i="1"/>
  <c r="G14" i="1"/>
  <c r="E18" i="1"/>
  <c r="H29" i="19"/>
  <c r="G35" i="1"/>
  <c r="H14" i="20"/>
  <c r="I27" i="1"/>
  <c r="H13" i="17"/>
  <c r="J45" i="1"/>
  <c r="H19" i="14"/>
  <c r="H37" i="14"/>
  <c r="H38" i="20"/>
  <c r="H22" i="19"/>
  <c r="H15" i="18"/>
  <c r="H15" i="14"/>
  <c r="H18" i="18"/>
  <c r="H31" i="19"/>
  <c r="L13" i="1"/>
  <c r="H28" i="17"/>
  <c r="H19" i="15"/>
  <c r="H31" i="15"/>
  <c r="H8" i="14"/>
  <c r="H19" i="17"/>
  <c r="L23" i="1"/>
  <c r="K27" i="1"/>
  <c r="H30" i="15"/>
  <c r="H32" i="1"/>
  <c r="H17" i="18"/>
  <c r="H27" i="16"/>
  <c r="G43" i="1"/>
  <c r="H10" i="15"/>
  <c r="L24" i="1"/>
  <c r="H37" i="16"/>
  <c r="I31" i="1"/>
  <c r="G21" i="1"/>
  <c r="F41" i="1"/>
  <c r="H38" i="18"/>
  <c r="K44" i="1"/>
  <c r="H16" i="19"/>
  <c r="E33" i="1"/>
  <c r="K28" i="1"/>
  <c r="H12" i="14"/>
  <c r="H23" i="15"/>
  <c r="H35" i="14"/>
  <c r="F26" i="1"/>
  <c r="H18" i="17"/>
  <c r="H13" i="14"/>
  <c r="H39" i="15"/>
  <c r="E25" i="1"/>
  <c r="H16" i="16"/>
  <c r="H23" i="17"/>
  <c r="J30" i="1"/>
  <c r="H30" i="20"/>
  <c r="E46" i="1"/>
  <c r="K18" i="1"/>
  <c r="F15" i="4"/>
  <c r="H35" i="18"/>
  <c r="I43" i="1"/>
  <c r="K22" i="1"/>
  <c r="H17" i="17"/>
  <c r="J23" i="1"/>
  <c r="H19" i="18"/>
  <c r="E23" i="1"/>
  <c r="H37" i="17"/>
  <c r="F16" i="1"/>
  <c r="H17" i="20"/>
  <c r="F14" i="1"/>
  <c r="K38" i="1"/>
  <c r="F18" i="4"/>
  <c r="H31" i="18"/>
  <c r="F35" i="4"/>
  <c r="E29" i="1"/>
  <c r="F17" i="4"/>
  <c r="F32" i="4"/>
  <c r="L43" i="1"/>
  <c r="J36" i="1"/>
  <c r="K14" i="1"/>
  <c r="H12" i="16"/>
  <c r="H33" i="16"/>
  <c r="H38" i="15"/>
  <c r="H16" i="15"/>
  <c r="G41" i="15"/>
  <c r="H41" i="15" s="1"/>
  <c r="E15" i="1"/>
  <c r="F44" i="1"/>
  <c r="F13" i="4"/>
  <c r="H15" i="16"/>
  <c r="H25" i="20"/>
  <c r="F35" i="1"/>
  <c r="H18" i="16"/>
  <c r="F29" i="4"/>
  <c r="H26" i="18"/>
  <c r="J28" i="1"/>
  <c r="I39" i="1"/>
  <c r="H9" i="18"/>
  <c r="H14" i="15"/>
  <c r="F17" i="1"/>
  <c r="H20" i="14"/>
  <c r="F33" i="4"/>
  <c r="K35" i="1"/>
  <c r="F30" i="4"/>
  <c r="H32" i="15"/>
  <c r="H21" i="17"/>
  <c r="F34" i="1"/>
  <c r="L28" i="1"/>
  <c r="H21" i="20"/>
  <c r="H25" i="17"/>
  <c r="K13" i="1"/>
  <c r="H38" i="17"/>
  <c r="H38" i="14"/>
  <c r="H12" i="18"/>
  <c r="H40" i="19"/>
  <c r="H29" i="17"/>
  <c r="H32" i="20"/>
  <c r="H27" i="1"/>
  <c r="F10" i="4"/>
  <c r="J16" i="1"/>
  <c r="H19" i="20"/>
  <c r="H28" i="14"/>
  <c r="I32" i="1"/>
  <c r="H22" i="18"/>
  <c r="E24" i="1"/>
  <c r="L46" i="1"/>
  <c r="L33" i="1"/>
  <c r="G41" i="20"/>
  <c r="H41" i="20" s="1"/>
  <c r="J29" i="1"/>
  <c r="H14" i="19"/>
  <c r="H22" i="1"/>
  <c r="E35" i="1"/>
  <c r="H10" i="20"/>
  <c r="I28" i="1"/>
  <c r="H22" i="20"/>
  <c r="H21" i="15"/>
  <c r="F19" i="4"/>
  <c r="F11" i="4"/>
  <c r="E14" i="1"/>
  <c r="E19" i="1"/>
  <c r="F14" i="4"/>
  <c r="F7" i="4"/>
  <c r="F36" i="4"/>
  <c r="F23" i="4"/>
  <c r="F38" i="4"/>
  <c r="F31" i="4"/>
  <c r="K36" i="1"/>
  <c r="H25" i="18"/>
  <c r="H16" i="18"/>
  <c r="H18" i="19"/>
  <c r="H40" i="15"/>
  <c r="H24" i="17"/>
  <c r="H16" i="20"/>
  <c r="E38" i="1"/>
  <c r="H32" i="19"/>
  <c r="H36" i="1"/>
  <c r="F26" i="4"/>
  <c r="L45" i="1"/>
  <c r="G41" i="16"/>
  <c r="H41" i="16" s="1"/>
  <c r="H32" i="14"/>
  <c r="K26" i="1"/>
  <c r="E26" i="1"/>
  <c r="J38" i="1"/>
  <c r="K16" i="1"/>
  <c r="K15" i="1"/>
  <c r="E21" i="1"/>
  <c r="G18" i="1"/>
  <c r="H30" i="18"/>
  <c r="J25" i="1"/>
  <c r="H8" i="17"/>
  <c r="H8" i="18"/>
  <c r="H39" i="16"/>
  <c r="H12" i="17"/>
  <c r="L37" i="1"/>
  <c r="H39" i="1"/>
  <c r="I14" i="1"/>
  <c r="J22" i="1"/>
  <c r="H14" i="16"/>
  <c r="H14" i="17"/>
  <c r="H13" i="15"/>
  <c r="H36" i="16"/>
  <c r="G41" i="17"/>
  <c r="H41" i="17" s="1"/>
  <c r="H25" i="16"/>
  <c r="H24" i="16"/>
  <c r="H33" i="18"/>
  <c r="I36" i="1"/>
  <c r="G25" i="1"/>
  <c r="H13" i="19"/>
  <c r="H9" i="17"/>
  <c r="H13" i="1"/>
  <c r="H21" i="19"/>
  <c r="H14" i="1"/>
  <c r="H27" i="17"/>
  <c r="H26" i="17"/>
  <c r="H25" i="1"/>
  <c r="F13" i="1"/>
  <c r="H21" i="1"/>
  <c r="H34" i="16"/>
  <c r="H36" i="17"/>
  <c r="H26" i="1"/>
  <c r="H30" i="16"/>
  <c r="I13" i="1"/>
  <c r="F36" i="1"/>
  <c r="J32" i="1"/>
  <c r="H31" i="1"/>
  <c r="H35" i="16"/>
  <c r="F23" i="1"/>
  <c r="H13" i="16"/>
  <c r="F33" i="1"/>
  <c r="H39" i="17"/>
  <c r="H14" i="18"/>
  <c r="H30" i="19"/>
  <c r="G41" i="14"/>
  <c r="H41" i="14" s="1"/>
  <c r="H10" i="16"/>
  <c r="H33" i="17"/>
  <c r="H13" i="18"/>
  <c r="F7" i="21"/>
  <c r="E43" i="21"/>
  <c r="H26" i="19"/>
  <c r="H36" i="19"/>
  <c r="H37" i="19"/>
  <c r="F38" i="1"/>
  <c r="G41" i="19"/>
  <c r="H41" i="19" s="1"/>
  <c r="J44" i="1"/>
  <c r="J14" i="1"/>
  <c r="L13" i="8" l="1"/>
  <c r="M19" i="1"/>
  <c r="O19" i="1" s="1"/>
  <c r="M22" i="1"/>
  <c r="O22" i="1" s="1"/>
  <c r="L16" i="8"/>
  <c r="L36" i="8"/>
  <c r="M42" i="1"/>
  <c r="O42" i="1" s="1"/>
  <c r="L35" i="8"/>
  <c r="M41" i="1"/>
  <c r="O41" i="1" s="1"/>
  <c r="L10" i="8"/>
  <c r="M16" i="1"/>
  <c r="O16" i="1" s="1"/>
  <c r="L27" i="8"/>
  <c r="M33" i="1"/>
  <c r="O33" i="1" s="1"/>
  <c r="L31" i="8"/>
  <c r="M37" i="1"/>
  <c r="O37" i="1" s="1"/>
  <c r="M27" i="1"/>
  <c r="O27" i="1" s="1"/>
  <c r="L21" i="8"/>
  <c r="M23" i="1"/>
  <c r="O23" i="1" s="1"/>
  <c r="L17" i="8"/>
  <c r="L40" i="8"/>
  <c r="M46" i="1"/>
  <c r="O46" i="1" s="1"/>
  <c r="M44" i="1"/>
  <c r="O44" i="1" s="1"/>
  <c r="L38" i="8"/>
  <c r="M39" i="1"/>
  <c r="O39" i="1" s="1"/>
  <c r="L33" i="8"/>
  <c r="L24" i="8"/>
  <c r="M30" i="1"/>
  <c r="O30" i="1" s="1"/>
  <c r="L34" i="8"/>
  <c r="M40" i="1"/>
  <c r="O40" i="1" s="1"/>
  <c r="M29" i="1"/>
  <c r="O29" i="1" s="1"/>
  <c r="L23" i="8"/>
  <c r="L32" i="8"/>
  <c r="M38" i="1"/>
  <c r="O38" i="1" s="1"/>
  <c r="M43" i="1"/>
  <c r="O43" i="1" s="1"/>
  <c r="L37" i="8"/>
  <c r="L8" i="8"/>
  <c r="M14" i="1"/>
  <c r="O14" i="1" s="1"/>
  <c r="X41" i="9"/>
  <c r="Y41" i="9" s="1"/>
  <c r="N47" i="1"/>
  <c r="Y7" i="9"/>
  <c r="L12" i="8"/>
  <c r="M18" i="1"/>
  <c r="O18" i="1" s="1"/>
  <c r="M25" i="1"/>
  <c r="O25" i="1" s="1"/>
  <c r="L19" i="8"/>
  <c r="M17" i="1"/>
  <c r="O17" i="1" s="1"/>
  <c r="L11" i="8"/>
  <c r="M32" i="1"/>
  <c r="O32" i="1" s="1"/>
  <c r="L26" i="8"/>
  <c r="M35" i="1"/>
  <c r="O35" i="1" s="1"/>
  <c r="L29" i="8"/>
  <c r="L14" i="8"/>
  <c r="M20" i="1"/>
  <c r="O20" i="1" s="1"/>
  <c r="L20" i="8"/>
  <c r="M26" i="1"/>
  <c r="O26" i="1" s="1"/>
  <c r="L28" i="8"/>
  <c r="M34" i="1"/>
  <c r="O34" i="1" s="1"/>
  <c r="L15" i="8"/>
  <c r="M21" i="1"/>
  <c r="O21" i="1" s="1"/>
  <c r="M24" i="1"/>
  <c r="O24" i="1" s="1"/>
  <c r="L18" i="8"/>
  <c r="J41" i="8"/>
  <c r="L22" i="8"/>
  <c r="M28" i="1"/>
  <c r="O28" i="1" s="1"/>
  <c r="M36" i="1"/>
  <c r="O36" i="1" s="1"/>
  <c r="L30" i="8"/>
  <c r="L25" i="8"/>
  <c r="M31" i="1"/>
  <c r="O31" i="1" s="1"/>
  <c r="M15" i="1"/>
  <c r="O15" i="1" s="1"/>
  <c r="L9" i="8"/>
  <c r="M45" i="1"/>
  <c r="O45" i="1" s="1"/>
  <c r="L39" i="8"/>
  <c r="F43" i="21"/>
  <c r="E44" i="21"/>
  <c r="G47" i="1"/>
  <c r="E47" i="1"/>
  <c r="K47" i="1"/>
  <c r="L47" i="1"/>
  <c r="H47" i="1"/>
  <c r="I47" i="1"/>
  <c r="J47" i="1"/>
  <c r="F47" i="1"/>
  <c r="S46" i="1" l="1"/>
  <c r="S42" i="1"/>
  <c r="S39" i="1"/>
  <c r="R14" i="1"/>
  <c r="R39" i="1"/>
  <c r="R32" i="1"/>
  <c r="R16" i="1"/>
  <c r="R44" i="1"/>
  <c r="R46" i="1"/>
  <c r="R41" i="1"/>
  <c r="R38" i="1"/>
  <c r="R15" i="1"/>
  <c r="R34" i="1"/>
  <c r="R35" i="1"/>
  <c r="R31" i="1"/>
  <c r="R25" i="1"/>
  <c r="R42" i="1"/>
  <c r="R45" i="1"/>
  <c r="R26" i="1"/>
  <c r="R29" i="1"/>
  <c r="R23" i="1"/>
  <c r="R33" i="1"/>
  <c r="R17" i="1"/>
  <c r="R40" i="1"/>
  <c r="R21" i="1"/>
  <c r="R36" i="1"/>
  <c r="R20" i="1"/>
  <c r="R27" i="1"/>
  <c r="R22" i="1"/>
  <c r="R43" i="1"/>
  <c r="R28" i="1"/>
  <c r="R30" i="1"/>
  <c r="R19" i="1"/>
  <c r="R24" i="1"/>
  <c r="R18" i="1"/>
  <c r="R37" i="1"/>
  <c r="M13" i="1"/>
  <c r="K41" i="8"/>
  <c r="L41" i="8" s="1"/>
  <c r="L7" i="8"/>
  <c r="S32" i="1"/>
  <c r="M47" i="1" l="1"/>
  <c r="O13" i="1"/>
  <c r="S19" i="1" l="1"/>
  <c r="R13" i="1"/>
  <c r="O47" i="1"/>
  <c r="P13" i="1" l="1"/>
  <c r="D5" i="13"/>
  <c r="P46" i="1"/>
  <c r="P33" i="1"/>
  <c r="P32" i="1"/>
  <c r="P14" i="1"/>
  <c r="P30" i="1"/>
  <c r="P24" i="1"/>
  <c r="P21" i="1"/>
  <c r="P43" i="1"/>
  <c r="P35" i="1"/>
  <c r="P38" i="1"/>
  <c r="P16" i="1"/>
  <c r="P28" i="1"/>
  <c r="P31" i="1"/>
  <c r="P41" i="1"/>
  <c r="P39" i="1"/>
  <c r="P44" i="1"/>
  <c r="P23" i="1"/>
  <c r="P40" i="1"/>
  <c r="P25" i="1"/>
  <c r="P18" i="1"/>
  <c r="P29" i="1"/>
  <c r="P27" i="1"/>
  <c r="P36" i="1"/>
  <c r="R47" i="1"/>
  <c r="P37" i="1"/>
  <c r="P26" i="1"/>
  <c r="P19" i="1"/>
  <c r="P45" i="1"/>
  <c r="P17" i="1"/>
  <c r="P34" i="1"/>
  <c r="P22" i="1"/>
  <c r="P15" i="1"/>
  <c r="S47" i="1"/>
  <c r="P20" i="1"/>
  <c r="P42" i="1"/>
  <c r="P47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Curtis Christopher J</author>
  </authors>
  <commentList>
    <comment ref="E6" authorId="0" shapeId="0" xr:uid="{00000000-0006-0000-0500-000001000000}">
      <text>
        <r>
          <rPr>
            <sz val="9"/>
            <color indexed="81"/>
            <rFont val="Tahoma"/>
            <family val="2"/>
          </rPr>
          <t>Weight is calculated as County Population multiplied by rank weight.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Curtis Christopher J</author>
  </authors>
  <commentList>
    <comment ref="E6" authorId="0" shapeId="0" xr:uid="{00000000-0006-0000-0600-000001000000}">
      <text>
        <r>
          <rPr>
            <sz val="9"/>
            <color indexed="81"/>
            <rFont val="Tahoma"/>
            <family val="2"/>
          </rPr>
          <t>Weight is calculated as County Population multiplied by rank weight.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Curtis Christopher J</author>
  </authors>
  <commentList>
    <comment ref="E6" authorId="0" shapeId="0" xr:uid="{00000000-0006-0000-0700-000001000000}">
      <text>
        <r>
          <rPr>
            <sz val="9"/>
            <color indexed="81"/>
            <rFont val="Tahoma"/>
            <family val="2"/>
          </rPr>
          <t>Weight is calculated as County Population multiplied population percentage group.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Curtis Christopher J</author>
  </authors>
  <commentList>
    <comment ref="E6" authorId="0" shapeId="0" xr:uid="{00000000-0006-0000-0800-000001000000}">
      <text>
        <r>
          <rPr>
            <sz val="9"/>
            <color indexed="81"/>
            <rFont val="Tahoma"/>
            <family val="2"/>
          </rPr>
          <t>Weight is calculated as County Population multiplied population percentage group.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Curtis Christopher J</author>
  </authors>
  <commentList>
    <comment ref="E6" authorId="0" shapeId="0" xr:uid="{00000000-0006-0000-0900-000001000000}">
      <text>
        <r>
          <rPr>
            <sz val="9"/>
            <color indexed="81"/>
            <rFont val="Tahoma"/>
            <family val="2"/>
          </rPr>
          <t>Weight is calculated as County Population multiplied population percentage group.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Curtis Christopher J</author>
  </authors>
  <commentList>
    <comment ref="E6" authorId="0" shapeId="0" xr:uid="{00000000-0006-0000-0A00-000001000000}">
      <text>
        <r>
          <rPr>
            <sz val="9"/>
            <color indexed="81"/>
            <rFont val="Tahoma"/>
            <family val="2"/>
          </rPr>
          <t>Weight is calculated as County Population multiplied population percentage group.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Curtis Christopher J</author>
  </authors>
  <commentList>
    <comment ref="E6" authorId="0" shapeId="0" xr:uid="{00000000-0006-0000-0B00-000001000000}">
      <text>
        <r>
          <rPr>
            <sz val="9"/>
            <color indexed="81"/>
            <rFont val="Tahoma"/>
            <family val="2"/>
          </rPr>
          <t>Weight is calculated as County Population multiplied population percentage group.</t>
        </r>
      </text>
    </comment>
  </commentList>
</comments>
</file>

<file path=xl/sharedStrings.xml><?xml version="1.0" encoding="utf-8"?>
<sst xmlns="http://schemas.openxmlformats.org/spreadsheetml/2006/main" count="344" uniqueCount="150">
  <si>
    <t>Total Pool</t>
  </si>
  <si>
    <t>County Population</t>
  </si>
  <si>
    <t>Total</t>
  </si>
  <si>
    <t>% Split</t>
  </si>
  <si>
    <t>Y</t>
  </si>
  <si>
    <t>Award Percentage</t>
  </si>
  <si>
    <t>Weighted Per Capita</t>
  </si>
  <si>
    <t>County Group</t>
  </si>
  <si>
    <t>Burden of Disease Rank</t>
  </si>
  <si>
    <t>Health Status Rank</t>
  </si>
  <si>
    <t>Category Weight</t>
  </si>
  <si>
    <t>Category Dollars</t>
  </si>
  <si>
    <t>Award Per Capita</t>
  </si>
  <si>
    <t>Weighted Payout</t>
  </si>
  <si>
    <t>Rank</t>
  </si>
  <si>
    <t>% of Total Population</t>
  </si>
  <si>
    <r>
      <t>Burden of Disease</t>
    </r>
    <r>
      <rPr>
        <vertAlign val="superscript"/>
        <sz val="11"/>
        <color theme="1"/>
        <rFont val="Calibri"/>
        <family val="2"/>
        <scheme val="minor"/>
      </rPr>
      <t>2</t>
    </r>
  </si>
  <si>
    <r>
      <t>Health Status</t>
    </r>
    <r>
      <rPr>
        <vertAlign val="superscript"/>
        <sz val="11"/>
        <color theme="1"/>
        <rFont val="Calibri"/>
        <family val="2"/>
        <scheme val="minor"/>
      </rPr>
      <t>3</t>
    </r>
  </si>
  <si>
    <t>% Non-white Population</t>
  </si>
  <si>
    <t>Limited English Proficiency</t>
  </si>
  <si>
    <t>Floor</t>
  </si>
  <si>
    <t>Total Pool:</t>
  </si>
  <si>
    <t>Medium County Floor:</t>
  </si>
  <si>
    <t>Large County Floor:</t>
  </si>
  <si>
    <t>Small County Floor:</t>
  </si>
  <si>
    <t>County Population:</t>
  </si>
  <si>
    <t>Burden of Disease:</t>
  </si>
  <si>
    <t>Health Status:</t>
  </si>
  <si>
    <t>Racial/Ethinic Diversity:</t>
  </si>
  <si>
    <t>Poverty:</t>
  </si>
  <si>
    <t>Limited English Proficiency:</t>
  </si>
  <si>
    <t>Matching Funds:</t>
  </si>
  <si>
    <t>Incentives:</t>
  </si>
  <si>
    <t>Weight</t>
  </si>
  <si>
    <t>Weighted Average</t>
  </si>
  <si>
    <t>Extra Small County Floor:</t>
  </si>
  <si>
    <t>Extra Large County Floor:</t>
  </si>
  <si>
    <t>Avg Award Per Capita</t>
  </si>
  <si>
    <t>Education:</t>
  </si>
  <si>
    <t>Total Award</t>
  </si>
  <si>
    <t>High School Education</t>
  </si>
  <si>
    <t>Indicator Pool</t>
  </si>
  <si>
    <t>PHAB Funding and Incentives Subcommittee</t>
  </si>
  <si>
    <t>County Size Bands</t>
  </si>
  <si>
    <t>Extra Small</t>
  </si>
  <si>
    <t>Small</t>
  </si>
  <si>
    <t>Medium</t>
  </si>
  <si>
    <t>Large</t>
  </si>
  <si>
    <t>Extra Large</t>
  </si>
  <si>
    <t>Subcommittee Members: Carrie Brogoitti, Bob Dannenhoffer, Jeff Luck, Alejandro Queral, Akiko Saito</t>
  </si>
  <si>
    <t>Baker</t>
  </si>
  <si>
    <t>Benton</t>
  </si>
  <si>
    <t>Clackamas</t>
  </si>
  <si>
    <t>Clatsop</t>
  </si>
  <si>
    <t>Columbia</t>
  </si>
  <si>
    <t>Coos</t>
  </si>
  <si>
    <t>Crook</t>
  </si>
  <si>
    <t>Curry</t>
  </si>
  <si>
    <t>Deschutes</t>
  </si>
  <si>
    <t>Douglas</t>
  </si>
  <si>
    <t>Grant</t>
  </si>
  <si>
    <t>Harney</t>
  </si>
  <si>
    <t>Hood River</t>
  </si>
  <si>
    <t>Jackson</t>
  </si>
  <si>
    <t>Jefferson</t>
  </si>
  <si>
    <t>Josephine</t>
  </si>
  <si>
    <t>Klamath</t>
  </si>
  <si>
    <t>Lake</t>
  </si>
  <si>
    <t>Lane</t>
  </si>
  <si>
    <t>Lincoln</t>
  </si>
  <si>
    <t>Linn</t>
  </si>
  <si>
    <t>Malheur</t>
  </si>
  <si>
    <t>Marion</t>
  </si>
  <si>
    <t>Morrow</t>
  </si>
  <si>
    <t>Multnomah</t>
  </si>
  <si>
    <t>Polk</t>
  </si>
  <si>
    <t>Tillamook</t>
  </si>
  <si>
    <t>Umatilla</t>
  </si>
  <si>
    <t>Union</t>
  </si>
  <si>
    <t>Wallowa</t>
  </si>
  <si>
    <t>Washington</t>
  </si>
  <si>
    <t>Wheeler</t>
  </si>
  <si>
    <t>Yamhill</t>
  </si>
  <si>
    <t>Population below 150% FPL</t>
  </si>
  <si>
    <t>Rurality</t>
  </si>
  <si>
    <t>Gilliam, Sherman, Wasco</t>
  </si>
  <si>
    <t>Rurality:</t>
  </si>
  <si>
    <t>Indicator Allocations:</t>
  </si>
  <si>
    <t>Base Funding:</t>
  </si>
  <si>
    <t>Floor Payment</t>
  </si>
  <si>
    <t>Band</t>
  </si>
  <si>
    <t>Gilliam</t>
  </si>
  <si>
    <t>Sherman</t>
  </si>
  <si>
    <t>Wasco</t>
  </si>
  <si>
    <t>Total Funding:</t>
  </si>
  <si>
    <t>Incentive 1</t>
  </si>
  <si>
    <t>Met? (Y/N)</t>
  </si>
  <si>
    <t>Floor Payout</t>
  </si>
  <si>
    <t>Total Payout</t>
  </si>
  <si>
    <t>Incentive 2</t>
  </si>
  <si>
    <t>Incentive 3</t>
  </si>
  <si>
    <t>Incentive 4</t>
  </si>
  <si>
    <t>Incentive 1:</t>
  </si>
  <si>
    <t>Incentive 2:</t>
  </si>
  <si>
    <t>Incentive 3:</t>
  </si>
  <si>
    <t>Incentive 4:</t>
  </si>
  <si>
    <t>Qualified Population</t>
  </si>
  <si>
    <t>Population Payout</t>
  </si>
  <si>
    <t>Grand Total Payout</t>
  </si>
  <si>
    <t>Payout Per Capita</t>
  </si>
  <si>
    <t>Increase Funding</t>
  </si>
  <si>
    <t>Matching
(New Funds)</t>
  </si>
  <si>
    <t>Maintenance % Split</t>
  </si>
  <si>
    <t>Floor % Split</t>
  </si>
  <si>
    <t>Maintenance Payout</t>
  </si>
  <si>
    <t>Base component</t>
  </si>
  <si>
    <t>Matching and Incentive fund components</t>
  </si>
  <si>
    <t>Total county allocation</t>
  </si>
  <si>
    <t>Matching Funds</t>
  </si>
  <si>
    <t>Incentives</t>
  </si>
  <si>
    <r>
      <t>Rurality</t>
    </r>
    <r>
      <rPr>
        <vertAlign val="superscript"/>
        <sz val="11"/>
        <color theme="1"/>
        <rFont val="Calibri"/>
        <family val="2"/>
        <scheme val="minor"/>
      </rPr>
      <t>5</t>
    </r>
  </si>
  <si>
    <t>up to 20,000</t>
  </si>
  <si>
    <t>20,000-75,000</t>
  </si>
  <si>
    <t>75,000-150,000</t>
  </si>
  <si>
    <t>150,000-375,000</t>
  </si>
  <si>
    <t>above 375,000</t>
  </si>
  <si>
    <t>2017 Funding</t>
  </si>
  <si>
    <t>2018 Funding</t>
  </si>
  <si>
    <r>
      <t>Population</t>
    </r>
    <r>
      <rPr>
        <vertAlign val="superscript"/>
        <sz val="11"/>
        <color theme="1"/>
        <rFont val="Calibri"/>
        <family val="2"/>
      </rPr>
      <t>1</t>
    </r>
  </si>
  <si>
    <r>
      <t>Race/
Ethnicity</t>
    </r>
    <r>
      <rPr>
        <vertAlign val="superscript"/>
        <sz val="11"/>
        <color theme="1"/>
        <rFont val="Calibri"/>
        <family val="2"/>
        <scheme val="minor"/>
      </rPr>
      <t>4</t>
    </r>
  </si>
  <si>
    <r>
      <t>Poverty 150% FPL</t>
    </r>
    <r>
      <rPr>
        <vertAlign val="superscript"/>
        <sz val="11"/>
        <color theme="1"/>
        <rFont val="Calibri"/>
        <family val="2"/>
        <scheme val="minor"/>
      </rPr>
      <t>4</t>
    </r>
  </si>
  <si>
    <r>
      <t>Education</t>
    </r>
    <r>
      <rPr>
        <vertAlign val="superscript"/>
        <sz val="11"/>
        <color theme="1"/>
        <rFont val="Calibri"/>
        <family val="2"/>
      </rPr>
      <t>4</t>
    </r>
  </si>
  <si>
    <r>
      <t>Limited English Proficiency</t>
    </r>
    <r>
      <rPr>
        <vertAlign val="superscript"/>
        <sz val="11"/>
        <color theme="1"/>
        <rFont val="Calibri"/>
        <family val="2"/>
      </rPr>
      <t>4</t>
    </r>
  </si>
  <si>
    <t>check sum</t>
  </si>
  <si>
    <t>Floor Payments</t>
  </si>
  <si>
    <t>Not used in this version</t>
  </si>
  <si>
    <t>Modifed for this version</t>
  </si>
  <si>
    <t>Added in this version to account for lower funding amounts (lowest floor payment allowed was 1.86 million in original version) - Also edited yellow cells on hidden Floor worksheet</t>
  </si>
  <si>
    <t>Updated August 2020</t>
  </si>
  <si>
    <t>Public Health Modernization LPHA funding formula</t>
  </si>
  <si>
    <r>
      <t>1</t>
    </r>
    <r>
      <rPr>
        <sz val="11"/>
        <rFont val="Calibri"/>
        <family val="2"/>
      </rPr>
      <t xml:space="preserve"> Source: Portland State University Certified Population estimate July 1, 2019</t>
    </r>
  </si>
  <si>
    <r>
      <t xml:space="preserve">2 </t>
    </r>
    <r>
      <rPr>
        <sz val="11"/>
        <rFont val="Calibri"/>
        <family val="2"/>
        <scheme val="minor"/>
      </rPr>
      <t>Source: Premature death: Leading causes of years of potential life lost before age 75. Oregon death certificate data, 2014-2018</t>
    </r>
  </si>
  <si>
    <r>
      <t xml:space="preserve">3 </t>
    </r>
    <r>
      <rPr>
        <sz val="11"/>
        <rFont val="Calibri"/>
        <family val="2"/>
        <scheme val="minor"/>
      </rPr>
      <t>Source: Quality of life: Good or excellent health, 2014-2017</t>
    </r>
  </si>
  <si>
    <r>
      <t xml:space="preserve">4 </t>
    </r>
    <r>
      <rPr>
        <sz val="11"/>
        <rFont val="Calibri"/>
        <family val="2"/>
        <scheme val="minor"/>
      </rPr>
      <t>Source: American Community Survey population 5-year estimate, 2014-2018</t>
    </r>
  </si>
  <si>
    <r>
      <t xml:space="preserve">5 </t>
    </r>
    <r>
      <rPr>
        <sz val="11"/>
        <rFont val="Calibri"/>
        <family val="2"/>
        <scheme val="minor"/>
      </rPr>
      <t>Source: U.S. Census Bureau, Population estimates, 2010</t>
    </r>
  </si>
  <si>
    <t>Indicators updated August 2020</t>
  </si>
  <si>
    <t>&lt;---for Immi use: changed formula from $15,000,000 to $150,000,000 to prevent matching from kicking in</t>
  </si>
  <si>
    <t xml:space="preserve">Total funds available to LPHAs through the funding formula = </t>
  </si>
  <si>
    <t>February, 2021</t>
  </si>
  <si>
    <t>CARES 4: COVID-19 Vaccination Supplemental Funding (funding through 6/30/24)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</si>
</sst>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0.0%"/>
    <numFmt numFmtId="167" formatCode="0.0000"/>
    <numFmt numFmtId="168" formatCode="&quot;$&quot;#,##0.0_);[Red]\(&quot;$&quot;#,##0.0\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</font>
    <font>
      <sz val="9"/>
      <color indexed="81"/>
      <name val="Tahoma"/>
      <family val="2"/>
    </font>
    <font>
      <sz val="10"/>
      <name val="MS Sans Serif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2"/>
      <color theme="0" tint="-0.499984740745262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vertAlign val="superscript"/>
      <sz val="1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n">
        <color auto="1"/>
      </left>
      <right/>
      <top style="thick">
        <color auto="1"/>
      </top>
      <bottom/>
      <diagonal/>
    </border>
    <border>
      <left/>
      <right style="thin">
        <color auto="1"/>
      </right>
      <top style="thick">
        <color auto="1"/>
      </top>
      <bottom/>
      <diagonal/>
    </border>
    <border>
      <left style="thin">
        <color auto="1"/>
      </left>
      <right/>
      <top/>
      <bottom style="thick">
        <color auto="1"/>
      </bottom>
      <diagonal/>
    </border>
    <border>
      <left/>
      <right style="thin">
        <color auto="1"/>
      </right>
      <top/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223">
    <xf numFmtId="0" fontId="0" fillId="0" borderId="0" xfId="0"/>
    <xf numFmtId="6" fontId="0" fillId="3" borderId="0" xfId="0" applyNumberFormat="1" applyFill="1"/>
    <xf numFmtId="0" fontId="0" fillId="0" borderId="0" xfId="0" applyAlignment="1">
      <alignment horizontal="center" vertical="center" wrapText="1"/>
    </xf>
    <xf numFmtId="0" fontId="0" fillId="4" borderId="0" xfId="0" applyFill="1" applyAlignment="1">
      <alignment horizontal="center" vertical="center" wrapText="1"/>
    </xf>
    <xf numFmtId="0" fontId="3" fillId="2" borderId="0" xfId="0" applyFont="1" applyFill="1"/>
    <xf numFmtId="164" fontId="3" fillId="2" borderId="0" xfId="1" applyNumberFormat="1" applyFont="1" applyFill="1"/>
    <xf numFmtId="10" fontId="0" fillId="0" borderId="0" xfId="3" applyNumberFormat="1" applyFont="1"/>
    <xf numFmtId="10" fontId="0" fillId="0" borderId="0" xfId="0" applyNumberFormat="1"/>
    <xf numFmtId="43" fontId="3" fillId="2" borderId="0" xfId="1" applyNumberFormat="1" applyFont="1" applyFill="1"/>
    <xf numFmtId="6" fontId="0" fillId="0" borderId="0" xfId="0" applyNumberFormat="1" applyFill="1"/>
    <xf numFmtId="8" fontId="0" fillId="0" borderId="0" xfId="0" applyNumberFormat="1"/>
    <xf numFmtId="6" fontId="3" fillId="2" borderId="0" xfId="0" applyNumberFormat="1" applyFont="1" applyFill="1"/>
    <xf numFmtId="8" fontId="3" fillId="2" borderId="0" xfId="0" applyNumberFormat="1" applyFont="1" applyFill="1"/>
    <xf numFmtId="0" fontId="0" fillId="6" borderId="0" xfId="0" applyFill="1" applyAlignment="1">
      <alignment horizontal="center" vertical="center" wrapText="1"/>
    </xf>
    <xf numFmtId="6" fontId="0" fillId="6" borderId="0" xfId="0" applyNumberFormat="1" applyFill="1"/>
    <xf numFmtId="164" fontId="0" fillId="0" borderId="0" xfId="1" applyNumberFormat="1" applyFont="1" applyFill="1"/>
    <xf numFmtId="164" fontId="3" fillId="0" borderId="1" xfId="0" applyNumberFormat="1" applyFont="1" applyBorder="1"/>
    <xf numFmtId="0" fontId="0" fillId="0" borderId="2" xfId="0" applyFill="1" applyBorder="1" applyAlignment="1"/>
    <xf numFmtId="0" fontId="0" fillId="0" borderId="5" xfId="0" applyFill="1" applyBorder="1" applyAlignment="1"/>
    <xf numFmtId="0" fontId="0" fillId="0" borderId="7" xfId="0" applyFill="1" applyBorder="1" applyAlignment="1"/>
    <xf numFmtId="0" fontId="0" fillId="0" borderId="0" xfId="0" applyFill="1" applyBorder="1" applyAlignment="1"/>
    <xf numFmtId="166" fontId="3" fillId="2" borderId="0" xfId="3" applyNumberFormat="1" applyFont="1" applyFill="1"/>
    <xf numFmtId="43" fontId="0" fillId="0" borderId="0" xfId="1" applyFont="1"/>
    <xf numFmtId="0" fontId="4" fillId="0" borderId="0" xfId="0" applyFont="1" applyAlignment="1">
      <alignment vertical="center"/>
    </xf>
    <xf numFmtId="0" fontId="5" fillId="0" borderId="0" xfId="0" applyFont="1"/>
    <xf numFmtId="0" fontId="6" fillId="0" borderId="0" xfId="0" applyFont="1" applyAlignment="1">
      <alignment horizontal="left"/>
    </xf>
    <xf numFmtId="0" fontId="0" fillId="0" borderId="0" xfId="0" applyAlignment="1">
      <alignment horizontal="center"/>
    </xf>
    <xf numFmtId="0" fontId="0" fillId="9" borderId="5" xfId="0" applyFill="1" applyBorder="1" applyAlignment="1"/>
    <xf numFmtId="0" fontId="0" fillId="0" borderId="0" xfId="0" applyFill="1" applyAlignment="1">
      <alignment vertical="top" wrapText="1"/>
    </xf>
    <xf numFmtId="166" fontId="0" fillId="0" borderId="0" xfId="3" applyNumberFormat="1" applyFont="1" applyFill="1"/>
    <xf numFmtId="0" fontId="3" fillId="0" borderId="0" xfId="0" applyFont="1"/>
    <xf numFmtId="164" fontId="0" fillId="0" borderId="0" xfId="1" applyNumberFormat="1" applyFont="1"/>
    <xf numFmtId="43" fontId="0" fillId="0" borderId="0" xfId="0" applyNumberFormat="1"/>
    <xf numFmtId="10" fontId="3" fillId="2" borderId="0" xfId="1" applyNumberFormat="1" applyFont="1" applyFill="1"/>
    <xf numFmtId="10" fontId="0" fillId="0" borderId="0" xfId="3" applyNumberFormat="1" applyFont="1" applyFill="1"/>
    <xf numFmtId="166" fontId="0" fillId="3" borderId="3" xfId="3" applyNumberFormat="1" applyFont="1" applyFill="1" applyBorder="1"/>
    <xf numFmtId="166" fontId="0" fillId="3" borderId="0" xfId="3" applyNumberFormat="1" applyFont="1" applyFill="1" applyBorder="1"/>
    <xf numFmtId="166" fontId="0" fillId="3" borderId="8" xfId="3" applyNumberFormat="1" applyFont="1" applyFill="1" applyBorder="1"/>
    <xf numFmtId="166" fontId="0" fillId="0" borderId="0" xfId="3" applyNumberFormat="1" applyFont="1"/>
    <xf numFmtId="0" fontId="6" fillId="0" borderId="0" xfId="0" applyFont="1" applyAlignment="1">
      <alignment wrapText="1"/>
    </xf>
    <xf numFmtId="0" fontId="0" fillId="0" borderId="0" xfId="0" quotePrefix="1"/>
    <xf numFmtId="0" fontId="0" fillId="7" borderId="0" xfId="0" applyFill="1" applyBorder="1" applyAlignment="1">
      <alignment horizontal="center"/>
    </xf>
    <xf numFmtId="9" fontId="0" fillId="8" borderId="0" xfId="3" applyFont="1" applyFill="1" applyBorder="1" applyAlignment="1">
      <alignment horizontal="center"/>
    </xf>
    <xf numFmtId="9" fontId="0" fillId="10" borderId="0" xfId="3" applyFont="1" applyFill="1" applyBorder="1" applyAlignment="1">
      <alignment horizontal="center"/>
    </xf>
    <xf numFmtId="9" fontId="0" fillId="5" borderId="0" xfId="3" applyFont="1" applyFill="1" applyBorder="1" applyAlignment="1">
      <alignment horizontal="center"/>
    </xf>
    <xf numFmtId="9" fontId="0" fillId="6" borderId="0" xfId="3" applyFont="1" applyFill="1" applyBorder="1" applyAlignment="1">
      <alignment horizontal="center"/>
    </xf>
    <xf numFmtId="44" fontId="0" fillId="0" borderId="0" xfId="2" applyFont="1"/>
    <xf numFmtId="165" fontId="0" fillId="0" borderId="0" xfId="2" applyNumberFormat="1" applyFont="1"/>
    <xf numFmtId="0" fontId="12" fillId="9" borderId="5" xfId="0" applyFont="1" applyFill="1" applyBorder="1" applyAlignment="1"/>
    <xf numFmtId="10" fontId="3" fillId="5" borderId="0" xfId="3" applyNumberFormat="1" applyFont="1" applyFill="1"/>
    <xf numFmtId="10" fontId="3" fillId="5" borderId="0" xfId="0" applyNumberFormat="1" applyFont="1" applyFill="1"/>
    <xf numFmtId="164" fontId="3" fillId="0" borderId="0" xfId="0" applyNumberFormat="1" applyFont="1" applyBorder="1"/>
    <xf numFmtId="9" fontId="0" fillId="5" borderId="0" xfId="3" applyFont="1" applyFill="1"/>
    <xf numFmtId="164" fontId="0" fillId="9" borderId="0" xfId="1" applyNumberFormat="1" applyFont="1" applyFill="1" applyBorder="1"/>
    <xf numFmtId="166" fontId="0" fillId="9" borderId="0" xfId="3" applyNumberFormat="1" applyFont="1" applyFill="1" applyBorder="1"/>
    <xf numFmtId="164" fontId="0" fillId="0" borderId="3" xfId="1" applyNumberFormat="1" applyFont="1" applyFill="1" applyBorder="1"/>
    <xf numFmtId="164" fontId="0" fillId="0" borderId="0" xfId="1" applyNumberFormat="1" applyFont="1" applyFill="1" applyBorder="1"/>
    <xf numFmtId="164" fontId="0" fillId="0" borderId="8" xfId="1" applyNumberFormat="1" applyFont="1" applyFill="1" applyBorder="1"/>
    <xf numFmtId="0" fontId="0" fillId="9" borderId="0" xfId="0" applyFill="1"/>
    <xf numFmtId="164" fontId="0" fillId="9" borderId="0" xfId="0" applyNumberFormat="1" applyFill="1"/>
    <xf numFmtId="6" fontId="0" fillId="0" borderId="0" xfId="0" applyNumberFormat="1"/>
    <xf numFmtId="0" fontId="0" fillId="5" borderId="2" xfId="0" applyFill="1" applyBorder="1" applyAlignment="1">
      <alignment horizontal="center"/>
    </xf>
    <xf numFmtId="10" fontId="0" fillId="5" borderId="3" xfId="3" applyNumberFormat="1" applyFont="1" applyFill="1" applyBorder="1" applyAlignment="1"/>
    <xf numFmtId="10" fontId="0" fillId="5" borderId="4" xfId="3" applyNumberFormat="1" applyFont="1" applyFill="1" applyBorder="1" applyAlignment="1"/>
    <xf numFmtId="0" fontId="0" fillId="5" borderId="7" xfId="0" applyFill="1" applyBorder="1" applyAlignment="1">
      <alignment horizontal="center"/>
    </xf>
    <xf numFmtId="6" fontId="0" fillId="5" borderId="8" xfId="0" applyNumberFormat="1" applyFill="1" applyBorder="1"/>
    <xf numFmtId="6" fontId="0" fillId="5" borderId="9" xfId="0" applyNumberFormat="1" applyFill="1" applyBorder="1"/>
    <xf numFmtId="0" fontId="0" fillId="5" borderId="10" xfId="0" applyFill="1" applyBorder="1" applyAlignment="1">
      <alignment horizontal="center" vertical="center" wrapText="1"/>
    </xf>
    <xf numFmtId="0" fontId="0" fillId="5" borderId="11" xfId="0" applyFill="1" applyBorder="1" applyAlignment="1">
      <alignment horizontal="center" vertical="center" wrapText="1"/>
    </xf>
    <xf numFmtId="0" fontId="0" fillId="5" borderId="12" xfId="0" applyFill="1" applyBorder="1" applyAlignment="1">
      <alignment horizontal="center" vertical="center" wrapText="1"/>
    </xf>
    <xf numFmtId="164" fontId="3" fillId="11" borderId="0" xfId="1" applyNumberFormat="1" applyFont="1" applyFill="1"/>
    <xf numFmtId="0" fontId="13" fillId="0" borderId="0" xfId="0" applyFont="1"/>
    <xf numFmtId="9" fontId="0" fillId="11" borderId="0" xfId="0" applyNumberFormat="1" applyFill="1"/>
    <xf numFmtId="44" fontId="3" fillId="2" borderId="0" xfId="2" applyFont="1" applyFill="1"/>
    <xf numFmtId="165" fontId="3" fillId="2" borderId="0" xfId="2" applyNumberFormat="1" applyFont="1" applyFill="1"/>
    <xf numFmtId="165" fontId="0" fillId="5" borderId="0" xfId="2" applyNumberFormat="1" applyFont="1" applyFill="1"/>
    <xf numFmtId="165" fontId="0" fillId="5" borderId="0" xfId="0" applyNumberFormat="1" applyFill="1"/>
    <xf numFmtId="165" fontId="0" fillId="6" borderId="0" xfId="0" applyNumberFormat="1" applyFill="1"/>
    <xf numFmtId="43" fontId="0" fillId="3" borderId="3" xfId="1" applyFont="1" applyFill="1" applyBorder="1" applyAlignment="1">
      <alignment horizontal="center"/>
    </xf>
    <xf numFmtId="43" fontId="0" fillId="3" borderId="4" xfId="1" applyFont="1" applyFill="1" applyBorder="1" applyAlignment="1">
      <alignment horizontal="center"/>
    </xf>
    <xf numFmtId="43" fontId="0" fillId="3" borderId="0" xfId="1" applyFont="1" applyFill="1" applyBorder="1" applyAlignment="1">
      <alignment horizontal="center"/>
    </xf>
    <xf numFmtId="43" fontId="0" fillId="3" borderId="6" xfId="1" applyFont="1" applyFill="1" applyBorder="1" applyAlignment="1">
      <alignment horizontal="center"/>
    </xf>
    <xf numFmtId="43" fontId="0" fillId="3" borderId="8" xfId="1" applyFont="1" applyFill="1" applyBorder="1" applyAlignment="1">
      <alignment horizontal="center"/>
    </xf>
    <xf numFmtId="43" fontId="0" fillId="3" borderId="9" xfId="1" applyFont="1" applyFill="1" applyBorder="1" applyAlignment="1">
      <alignment horizontal="center"/>
    </xf>
    <xf numFmtId="43" fontId="0" fillId="13" borderId="0" xfId="1" applyFont="1" applyFill="1" applyBorder="1" applyAlignment="1">
      <alignment horizontal="center"/>
    </xf>
    <xf numFmtId="165" fontId="0" fillId="13" borderId="3" xfId="2" applyNumberFormat="1" applyFont="1" applyFill="1" applyBorder="1" applyAlignment="1">
      <alignment horizontal="center"/>
    </xf>
    <xf numFmtId="165" fontId="0" fillId="13" borderId="0" xfId="2" applyNumberFormat="1" applyFont="1" applyFill="1" applyBorder="1" applyAlignment="1">
      <alignment horizontal="center"/>
    </xf>
    <xf numFmtId="165" fontId="0" fillId="13" borderId="8" xfId="2" applyNumberFormat="1" applyFont="1" applyFill="1" applyBorder="1" applyAlignment="1">
      <alignment horizontal="center"/>
    </xf>
    <xf numFmtId="165" fontId="0" fillId="0" borderId="0" xfId="2" applyNumberFormat="1" applyFont="1" applyFill="1"/>
    <xf numFmtId="10" fontId="3" fillId="0" borderId="0" xfId="3" applyNumberFormat="1" applyFont="1" applyFill="1"/>
    <xf numFmtId="0" fontId="1" fillId="0" borderId="0" xfId="0" applyFont="1"/>
    <xf numFmtId="10" fontId="2" fillId="5" borderId="0" xfId="3" applyNumberFormat="1" applyFont="1" applyFill="1"/>
    <xf numFmtId="0" fontId="0" fillId="0" borderId="0" xfId="0" applyFont="1"/>
    <xf numFmtId="0" fontId="0" fillId="11" borderId="0" xfId="0" applyFill="1"/>
    <xf numFmtId="2" fontId="10" fillId="0" borderId="13" xfId="0" applyNumberFormat="1" applyFont="1" applyBorder="1" applyAlignment="1">
      <alignment vertical="top" wrapText="1"/>
    </xf>
    <xf numFmtId="2" fontId="4" fillId="0" borderId="14" xfId="0" applyNumberFormat="1" applyFont="1" applyBorder="1" applyAlignment="1">
      <alignment vertical="top" wrapText="1"/>
    </xf>
    <xf numFmtId="2" fontId="4" fillId="0" borderId="15" xfId="0" applyNumberFormat="1" applyFont="1" applyBorder="1" applyAlignment="1">
      <alignment vertical="top" wrapText="1"/>
    </xf>
    <xf numFmtId="0" fontId="0" fillId="2" borderId="16" xfId="0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0" fillId="7" borderId="16" xfId="0" applyFill="1" applyBorder="1" applyAlignment="1"/>
    <xf numFmtId="164" fontId="0" fillId="7" borderId="0" xfId="1" applyNumberFormat="1" applyFont="1" applyFill="1" applyBorder="1" applyAlignment="1"/>
    <xf numFmtId="165" fontId="2" fillId="7" borderId="0" xfId="2" applyNumberFormat="1" applyFont="1" applyFill="1" applyBorder="1" applyAlignment="1">
      <alignment horizontal="center"/>
    </xf>
    <xf numFmtId="166" fontId="3" fillId="7" borderId="0" xfId="3" applyNumberFormat="1" applyFont="1" applyFill="1" applyBorder="1"/>
    <xf numFmtId="0" fontId="0" fillId="0" borderId="17" xfId="0" applyBorder="1"/>
    <xf numFmtId="44" fontId="3" fillId="7" borderId="17" xfId="2" applyNumberFormat="1" applyFont="1" applyFill="1" applyBorder="1" applyAlignment="1">
      <alignment horizontal="center"/>
    </xf>
    <xf numFmtId="0" fontId="0" fillId="8" borderId="16" xfId="0" applyFill="1" applyBorder="1" applyAlignment="1"/>
    <xf numFmtId="164" fontId="0" fillId="8" borderId="0" xfId="1" applyNumberFormat="1" applyFont="1" applyFill="1" applyBorder="1" applyAlignment="1"/>
    <xf numFmtId="165" fontId="2" fillId="8" borderId="0" xfId="2" applyNumberFormat="1" applyFont="1" applyFill="1" applyBorder="1" applyAlignment="1">
      <alignment horizontal="center"/>
    </xf>
    <xf numFmtId="166" fontId="3" fillId="8" borderId="0" xfId="3" applyNumberFormat="1" applyFont="1" applyFill="1" applyBorder="1"/>
    <xf numFmtId="0" fontId="11" fillId="8" borderId="16" xfId="0" applyFont="1" applyFill="1" applyBorder="1" applyAlignment="1"/>
    <xf numFmtId="44" fontId="3" fillId="8" borderId="17" xfId="2" applyNumberFormat="1" applyFont="1" applyFill="1" applyBorder="1" applyAlignment="1">
      <alignment horizontal="center"/>
    </xf>
    <xf numFmtId="0" fontId="0" fillId="10" borderId="16" xfId="0" applyFill="1" applyBorder="1" applyAlignment="1"/>
    <xf numFmtId="164" fontId="0" fillId="10" borderId="0" xfId="1" applyNumberFormat="1" applyFont="1" applyFill="1" applyBorder="1" applyAlignment="1"/>
    <xf numFmtId="165" fontId="2" fillId="10" borderId="0" xfId="2" applyNumberFormat="1" applyFont="1" applyFill="1" applyBorder="1" applyAlignment="1">
      <alignment horizontal="center"/>
    </xf>
    <xf numFmtId="166" fontId="3" fillId="10" borderId="0" xfId="3" applyNumberFormat="1" applyFont="1" applyFill="1" applyBorder="1"/>
    <xf numFmtId="44" fontId="3" fillId="10" borderId="17" xfId="2" applyNumberFormat="1" applyFont="1" applyFill="1" applyBorder="1" applyAlignment="1">
      <alignment horizontal="center"/>
    </xf>
    <xf numFmtId="0" fontId="0" fillId="5" borderId="16" xfId="0" applyFill="1" applyBorder="1" applyAlignment="1"/>
    <xf numFmtId="164" fontId="0" fillId="5" borderId="0" xfId="1" applyNumberFormat="1" applyFont="1" applyFill="1" applyBorder="1" applyAlignment="1"/>
    <xf numFmtId="165" fontId="2" fillId="5" borderId="0" xfId="2" applyNumberFormat="1" applyFont="1" applyFill="1" applyBorder="1" applyAlignment="1">
      <alignment horizontal="center"/>
    </xf>
    <xf numFmtId="166" fontId="3" fillId="5" borderId="0" xfId="3" applyNumberFormat="1" applyFont="1" applyFill="1" applyBorder="1"/>
    <xf numFmtId="44" fontId="3" fillId="5" borderId="17" xfId="2" applyNumberFormat="1" applyFont="1" applyFill="1" applyBorder="1" applyAlignment="1">
      <alignment horizontal="center"/>
    </xf>
    <xf numFmtId="0" fontId="0" fillId="6" borderId="16" xfId="0" applyFill="1" applyBorder="1" applyAlignment="1"/>
    <xf numFmtId="164" fontId="0" fillId="6" borderId="0" xfId="1" applyNumberFormat="1" applyFont="1" applyFill="1" applyBorder="1" applyAlignment="1"/>
    <xf numFmtId="165" fontId="2" fillId="6" borderId="0" xfId="2" applyNumberFormat="1" applyFont="1" applyFill="1" applyBorder="1" applyAlignment="1">
      <alignment horizontal="center"/>
    </xf>
    <xf numFmtId="166" fontId="3" fillId="6" borderId="0" xfId="3" applyNumberFormat="1" applyFont="1" applyFill="1" applyBorder="1"/>
    <xf numFmtId="44" fontId="3" fillId="6" borderId="17" xfId="2" applyNumberFormat="1" applyFont="1" applyFill="1" applyBorder="1" applyAlignment="1">
      <alignment horizontal="center"/>
    </xf>
    <xf numFmtId="0" fontId="3" fillId="2" borderId="18" xfId="0" applyFont="1" applyFill="1" applyBorder="1"/>
    <xf numFmtId="164" fontId="3" fillId="2" borderId="19" xfId="0" applyNumberFormat="1" applyFont="1" applyFill="1" applyBorder="1"/>
    <xf numFmtId="165" fontId="3" fillId="2" borderId="19" xfId="0" applyNumberFormat="1" applyFont="1" applyFill="1" applyBorder="1"/>
    <xf numFmtId="166" fontId="3" fillId="2" borderId="19" xfId="3" applyNumberFormat="1" applyFont="1" applyFill="1" applyBorder="1"/>
    <xf numFmtId="44" fontId="3" fillId="2" borderId="20" xfId="2" applyNumberFormat="1" applyFont="1" applyFill="1" applyBorder="1" applyAlignment="1">
      <alignment horizontal="center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165" fontId="2" fillId="7" borderId="5" xfId="2" applyNumberFormat="1" applyFont="1" applyFill="1" applyBorder="1" applyAlignment="1">
      <alignment horizontal="center"/>
    </xf>
    <xf numFmtId="165" fontId="2" fillId="7" borderId="6" xfId="2" applyNumberFormat="1" applyFont="1" applyFill="1" applyBorder="1" applyAlignment="1">
      <alignment horizontal="center"/>
    </xf>
    <xf numFmtId="165" fontId="2" fillId="8" borderId="5" xfId="2" applyNumberFormat="1" applyFont="1" applyFill="1" applyBorder="1" applyAlignment="1">
      <alignment horizontal="center"/>
    </xf>
    <xf numFmtId="165" fontId="2" fillId="8" borderId="6" xfId="2" applyNumberFormat="1" applyFont="1" applyFill="1" applyBorder="1" applyAlignment="1">
      <alignment horizontal="center"/>
    </xf>
    <xf numFmtId="165" fontId="2" fillId="10" borderId="5" xfId="2" applyNumberFormat="1" applyFont="1" applyFill="1" applyBorder="1" applyAlignment="1">
      <alignment horizontal="center"/>
    </xf>
    <xf numFmtId="165" fontId="2" fillId="10" borderId="6" xfId="2" applyNumberFormat="1" applyFont="1" applyFill="1" applyBorder="1" applyAlignment="1">
      <alignment horizontal="center"/>
    </xf>
    <xf numFmtId="165" fontId="2" fillId="5" borderId="5" xfId="2" applyNumberFormat="1" applyFont="1" applyFill="1" applyBorder="1" applyAlignment="1">
      <alignment horizontal="center"/>
    </xf>
    <xf numFmtId="165" fontId="2" fillId="5" borderId="6" xfId="2" applyNumberFormat="1" applyFont="1" applyFill="1" applyBorder="1" applyAlignment="1">
      <alignment horizontal="center"/>
    </xf>
    <xf numFmtId="165" fontId="2" fillId="6" borderId="5" xfId="2" applyNumberFormat="1" applyFont="1" applyFill="1" applyBorder="1" applyAlignment="1">
      <alignment horizontal="center"/>
    </xf>
    <xf numFmtId="165" fontId="2" fillId="6" borderId="6" xfId="2" applyNumberFormat="1" applyFont="1" applyFill="1" applyBorder="1" applyAlignment="1">
      <alignment horizontal="center"/>
    </xf>
    <xf numFmtId="165" fontId="3" fillId="2" borderId="23" xfId="0" applyNumberFormat="1" applyFont="1" applyFill="1" applyBorder="1"/>
    <xf numFmtId="165" fontId="3" fillId="2" borderId="24" xfId="0" applyNumberFormat="1" applyFont="1" applyFill="1" applyBorder="1"/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165" fontId="3" fillId="7" borderId="5" xfId="2" applyNumberFormat="1" applyFont="1" applyFill="1" applyBorder="1" applyAlignment="1">
      <alignment horizontal="center"/>
    </xf>
    <xf numFmtId="44" fontId="3" fillId="7" borderId="6" xfId="2" applyNumberFormat="1" applyFont="1" applyFill="1" applyBorder="1" applyAlignment="1">
      <alignment horizontal="center"/>
    </xf>
    <xf numFmtId="165" fontId="3" fillId="8" borderId="5" xfId="2" applyNumberFormat="1" applyFont="1" applyFill="1" applyBorder="1" applyAlignment="1">
      <alignment horizontal="center"/>
    </xf>
    <xf numFmtId="44" fontId="3" fillId="8" borderId="6" xfId="2" applyNumberFormat="1" applyFont="1" applyFill="1" applyBorder="1" applyAlignment="1">
      <alignment horizontal="center"/>
    </xf>
    <xf numFmtId="165" fontId="3" fillId="10" borderId="5" xfId="2" applyNumberFormat="1" applyFont="1" applyFill="1" applyBorder="1" applyAlignment="1">
      <alignment horizontal="center"/>
    </xf>
    <xf numFmtId="44" fontId="3" fillId="10" borderId="6" xfId="2" applyNumberFormat="1" applyFont="1" applyFill="1" applyBorder="1" applyAlignment="1">
      <alignment horizontal="center"/>
    </xf>
    <xf numFmtId="165" fontId="3" fillId="5" borderId="5" xfId="2" applyNumberFormat="1" applyFont="1" applyFill="1" applyBorder="1" applyAlignment="1">
      <alignment horizontal="center"/>
    </xf>
    <xf numFmtId="44" fontId="3" fillId="5" borderId="6" xfId="2" applyNumberFormat="1" applyFont="1" applyFill="1" applyBorder="1" applyAlignment="1">
      <alignment horizontal="center"/>
    </xf>
    <xf numFmtId="165" fontId="3" fillId="6" borderId="5" xfId="2" applyNumberFormat="1" applyFont="1" applyFill="1" applyBorder="1" applyAlignment="1">
      <alignment horizontal="center"/>
    </xf>
    <xf numFmtId="44" fontId="3" fillId="6" borderId="6" xfId="2" applyNumberFormat="1" applyFont="1" applyFill="1" applyBorder="1" applyAlignment="1">
      <alignment horizontal="center"/>
    </xf>
    <xf numFmtId="44" fontId="3" fillId="2" borderId="24" xfId="2" applyNumberFormat="1" applyFont="1" applyFill="1" applyBorder="1" applyAlignment="1">
      <alignment horizontal="center"/>
    </xf>
    <xf numFmtId="44" fontId="0" fillId="0" borderId="0" xfId="0" applyNumberFormat="1"/>
    <xf numFmtId="164" fontId="0" fillId="15" borderId="3" xfId="1" applyNumberFormat="1" applyFont="1" applyFill="1" applyBorder="1"/>
    <xf numFmtId="164" fontId="0" fillId="15" borderId="0" xfId="1" applyNumberFormat="1" applyFont="1" applyFill="1" applyBorder="1"/>
    <xf numFmtId="164" fontId="0" fillId="15" borderId="8" xfId="1" applyNumberFormat="1" applyFont="1" applyFill="1" applyBorder="1"/>
    <xf numFmtId="166" fontId="0" fillId="15" borderId="3" xfId="3" applyNumberFormat="1" applyFont="1" applyFill="1" applyBorder="1"/>
    <xf numFmtId="166" fontId="0" fillId="15" borderId="0" xfId="3" applyNumberFormat="1" applyFont="1" applyFill="1" applyBorder="1"/>
    <xf numFmtId="166" fontId="0" fillId="15" borderId="8" xfId="3" applyNumberFormat="1" applyFont="1" applyFill="1" applyBorder="1"/>
    <xf numFmtId="166" fontId="0" fillId="15" borderId="3" xfId="3" applyNumberFormat="1" applyFont="1" applyFill="1" applyBorder="1" applyAlignment="1"/>
    <xf numFmtId="166" fontId="0" fillId="15" borderId="0" xfId="3" applyNumberFormat="1" applyFont="1" applyFill="1" applyBorder="1" applyAlignment="1"/>
    <xf numFmtId="166" fontId="0" fillId="15" borderId="8" xfId="3" applyNumberFormat="1" applyFont="1" applyFill="1" applyBorder="1" applyAlignment="1"/>
    <xf numFmtId="0" fontId="15" fillId="2" borderId="5" xfId="0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 wrapText="1"/>
    </xf>
    <xf numFmtId="165" fontId="15" fillId="7" borderId="5" xfId="2" applyNumberFormat="1" applyFont="1" applyFill="1" applyBorder="1" applyAlignment="1">
      <alignment horizontal="center"/>
    </xf>
    <xf numFmtId="165" fontId="15" fillId="7" borderId="6" xfId="2" applyNumberFormat="1" applyFont="1" applyFill="1" applyBorder="1" applyAlignment="1">
      <alignment horizontal="center"/>
    </xf>
    <xf numFmtId="165" fontId="15" fillId="8" borderId="5" xfId="2" applyNumberFormat="1" applyFont="1" applyFill="1" applyBorder="1" applyAlignment="1">
      <alignment horizontal="center"/>
    </xf>
    <xf numFmtId="165" fontId="15" fillId="8" borderId="6" xfId="2" applyNumberFormat="1" applyFont="1" applyFill="1" applyBorder="1" applyAlignment="1">
      <alignment horizontal="center"/>
    </xf>
    <xf numFmtId="165" fontId="15" fillId="10" borderId="5" xfId="2" applyNumberFormat="1" applyFont="1" applyFill="1" applyBorder="1" applyAlignment="1">
      <alignment horizontal="center"/>
    </xf>
    <xf numFmtId="165" fontId="15" fillId="10" borderId="6" xfId="2" applyNumberFormat="1" applyFont="1" applyFill="1" applyBorder="1" applyAlignment="1">
      <alignment horizontal="center"/>
    </xf>
    <xf numFmtId="165" fontId="15" fillId="5" borderId="5" xfId="2" applyNumberFormat="1" applyFont="1" applyFill="1" applyBorder="1" applyAlignment="1">
      <alignment horizontal="center"/>
    </xf>
    <xf numFmtId="165" fontId="15" fillId="5" borderId="6" xfId="2" applyNumberFormat="1" applyFont="1" applyFill="1" applyBorder="1" applyAlignment="1">
      <alignment horizontal="center"/>
    </xf>
    <xf numFmtId="165" fontId="15" fillId="6" borderId="5" xfId="2" applyNumberFormat="1" applyFont="1" applyFill="1" applyBorder="1" applyAlignment="1">
      <alignment horizontal="center"/>
    </xf>
    <xf numFmtId="165" fontId="15" fillId="6" borderId="6" xfId="2" applyNumberFormat="1" applyFont="1" applyFill="1" applyBorder="1" applyAlignment="1">
      <alignment horizontal="center"/>
    </xf>
    <xf numFmtId="165" fontId="16" fillId="2" borderId="23" xfId="0" applyNumberFormat="1" applyFont="1" applyFill="1" applyBorder="1"/>
    <xf numFmtId="165" fontId="16" fillId="2" borderId="24" xfId="0" applyNumberFormat="1" applyFont="1" applyFill="1" applyBorder="1"/>
    <xf numFmtId="0" fontId="5" fillId="0" borderId="0" xfId="0" applyFont="1" applyFill="1"/>
    <xf numFmtId="0" fontId="0" fillId="0" borderId="0" xfId="0" applyFill="1"/>
    <xf numFmtId="166" fontId="0" fillId="9" borderId="0" xfId="3" applyNumberFormat="1" applyFont="1" applyFill="1" applyBorder="1" applyAlignment="1"/>
    <xf numFmtId="167" fontId="0" fillId="0" borderId="0" xfId="0" applyNumberFormat="1"/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6" fontId="13" fillId="0" borderId="0" xfId="0" applyNumberFormat="1" applyFont="1"/>
    <xf numFmtId="6" fontId="3" fillId="11" borderId="25" xfId="0" applyNumberFormat="1" applyFont="1" applyFill="1" applyBorder="1"/>
    <xf numFmtId="168" fontId="0" fillId="0" borderId="0" xfId="0" applyNumberFormat="1"/>
    <xf numFmtId="0" fontId="0" fillId="0" borderId="0" xfId="0" applyFill="1" applyBorder="1"/>
    <xf numFmtId="165" fontId="0" fillId="3" borderId="27" xfId="2" applyNumberFormat="1" applyFont="1" applyFill="1" applyBorder="1"/>
    <xf numFmtId="165" fontId="0" fillId="0" borderId="0" xfId="2" applyNumberFormat="1" applyFont="1" applyFill="1" applyBorder="1"/>
    <xf numFmtId="165" fontId="0" fillId="3" borderId="26" xfId="2" applyNumberFormat="1" applyFont="1" applyFill="1" applyBorder="1"/>
    <xf numFmtId="165" fontId="0" fillId="3" borderId="28" xfId="2" applyNumberFormat="1" applyFont="1" applyFill="1" applyBorder="1"/>
    <xf numFmtId="6" fontId="0" fillId="11" borderId="0" xfId="0" applyNumberFormat="1" applyFill="1"/>
    <xf numFmtId="6" fontId="3" fillId="0" borderId="0" xfId="0" applyNumberFormat="1" applyFont="1" applyFill="1" applyBorder="1"/>
    <xf numFmtId="0" fontId="3" fillId="0" borderId="0" xfId="0" applyFont="1" applyFill="1" applyBorder="1"/>
    <xf numFmtId="10" fontId="3" fillId="16" borderId="0" xfId="3" applyNumberFormat="1" applyFont="1" applyFill="1"/>
    <xf numFmtId="10" fontId="0" fillId="16" borderId="0" xfId="3" applyNumberFormat="1" applyFont="1" applyFill="1"/>
    <xf numFmtId="6" fontId="0" fillId="0" borderId="0" xfId="0" applyNumberFormat="1" applyFill="1" applyAlignment="1">
      <alignment horizontal="center" wrapText="1"/>
    </xf>
    <xf numFmtId="164" fontId="2" fillId="0" borderId="0" xfId="1" applyNumberFormat="1" applyFont="1"/>
    <xf numFmtId="165" fontId="0" fillId="5" borderId="25" xfId="2" applyNumberFormat="1" applyFont="1" applyFill="1" applyBorder="1"/>
    <xf numFmtId="0" fontId="13" fillId="0" borderId="0" xfId="0" applyFont="1" applyFill="1" applyBorder="1"/>
    <xf numFmtId="10" fontId="3" fillId="0" borderId="0" xfId="0" applyNumberFormat="1" applyFont="1" applyFill="1"/>
    <xf numFmtId="9" fontId="0" fillId="0" borderId="0" xfId="3" applyFont="1" applyFill="1"/>
    <xf numFmtId="165" fontId="3" fillId="11" borderId="25" xfId="2" applyNumberFormat="1" applyFont="1" applyFill="1" applyBorder="1"/>
    <xf numFmtId="6" fontId="10" fillId="0" borderId="0" xfId="0" applyNumberFormat="1" applyFont="1" applyFill="1"/>
    <xf numFmtId="44" fontId="3" fillId="0" borderId="17" xfId="2" applyNumberFormat="1" applyFont="1" applyFill="1" applyBorder="1" applyAlignment="1">
      <alignment horizontal="center"/>
    </xf>
    <xf numFmtId="0" fontId="17" fillId="0" borderId="0" xfId="0" applyFont="1"/>
    <xf numFmtId="0" fontId="17" fillId="0" borderId="0" xfId="0" applyFont="1" applyAlignment="1">
      <alignment horizontal="left"/>
    </xf>
    <xf numFmtId="0" fontId="0" fillId="0" borderId="0" xfId="0" applyBorder="1" applyAlignment="1">
      <alignment horizontal="center"/>
    </xf>
    <xf numFmtId="2" fontId="4" fillId="14" borderId="21" xfId="0" applyNumberFormat="1" applyFont="1" applyFill="1" applyBorder="1" applyAlignment="1">
      <alignment horizontal="center" vertical="center" wrapText="1"/>
    </xf>
    <xf numFmtId="2" fontId="4" fillId="14" borderId="14" xfId="0" applyNumberFormat="1" applyFont="1" applyFill="1" applyBorder="1" applyAlignment="1">
      <alignment horizontal="center" vertical="center" wrapText="1"/>
    </xf>
    <xf numFmtId="2" fontId="4" fillId="14" borderId="22" xfId="0" applyNumberFormat="1" applyFont="1" applyFill="1" applyBorder="1" applyAlignment="1">
      <alignment horizontal="center" vertical="center" wrapText="1"/>
    </xf>
    <xf numFmtId="2" fontId="14" fillId="14" borderId="21" xfId="0" applyNumberFormat="1" applyFont="1" applyFill="1" applyBorder="1" applyAlignment="1">
      <alignment horizontal="center" vertical="center" wrapText="1"/>
    </xf>
    <xf numFmtId="2" fontId="14" fillId="14" borderId="22" xfId="0" applyNumberFormat="1" applyFont="1" applyFill="1" applyBorder="1" applyAlignment="1">
      <alignment horizontal="center" vertical="center" wrapText="1"/>
    </xf>
    <xf numFmtId="0" fontId="0" fillId="8" borderId="0" xfId="0" applyFill="1" applyAlignment="1">
      <alignment horizontal="center"/>
    </xf>
    <xf numFmtId="0" fontId="0" fillId="12" borderId="0" xfId="0" applyFill="1" applyAlignment="1">
      <alignment horizontal="center"/>
    </xf>
    <xf numFmtId="17" fontId="5" fillId="0" borderId="0" xfId="0" applyNumberFormat="1" applyFont="1" applyAlignment="1">
      <alignment vertical="center"/>
    </xf>
  </cellXfs>
  <cellStyles count="5">
    <cellStyle name="Comma" xfId="1" builtinId="3"/>
    <cellStyle name="Comma 2" xfId="4" xr:uid="{00000000-0005-0000-0000-000001000000}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928687</xdr:colOff>
      <xdr:row>23</xdr:row>
      <xdr:rowOff>16383</xdr:rowOff>
    </xdr:from>
    <xdr:ext cx="5884124" cy="1970861"/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63364D43-D9A9-4019-B0C2-97B5DD666929}"/>
            </a:ext>
          </a:extLst>
        </xdr:cNvPr>
        <xdr:cNvSpPr/>
      </xdr:nvSpPr>
      <xdr:spPr>
        <a:xfrm rot="20395701">
          <a:off x="5453062" y="4326446"/>
          <a:ext cx="5884124" cy="1970861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n-US" sz="12000" b="0" cap="none" spc="0">
              <a:ln w="0"/>
              <a:solidFill>
                <a:schemeClr val="bg1">
                  <a:lumMod val="65000"/>
                  <a:alpha val="39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draft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734500</xdr:colOff>
      <xdr:row>15</xdr:row>
      <xdr:rowOff>73291</xdr:rowOff>
    </xdr:from>
    <xdr:ext cx="5694239" cy="3646182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 rot="20395701">
          <a:off x="2544250" y="3187966"/>
          <a:ext cx="5694239" cy="3646182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endParaRPr lang="en-US" sz="12000" b="0" cap="none" spc="0">
            <a:ln w="0"/>
            <a:solidFill>
              <a:schemeClr val="bg1">
                <a:lumMod val="65000"/>
                <a:alpha val="39000"/>
              </a:schemeClr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45"/>
  <sheetViews>
    <sheetView workbookViewId="0">
      <selection activeCell="B9" sqref="B9"/>
    </sheetView>
  </sheetViews>
  <sheetFormatPr defaultRowHeight="14.25" x14ac:dyDescent="0.45"/>
  <cols>
    <col min="2" max="2" width="25.86328125" bestFit="1" customWidth="1"/>
    <col min="3" max="3" width="11.86328125" bestFit="1" customWidth="1"/>
    <col min="4" max="4" width="12.1328125" bestFit="1" customWidth="1"/>
    <col min="6" max="6" width="11.73046875" customWidth="1"/>
    <col min="8" max="8" width="18.3984375" bestFit="1" customWidth="1"/>
  </cols>
  <sheetData>
    <row r="1" spans="2:9" ht="18" x14ac:dyDescent="0.55000000000000004">
      <c r="B1" s="24" t="s">
        <v>42</v>
      </c>
      <c r="C1" s="24"/>
    </row>
    <row r="2" spans="2:9" ht="15.75" x14ac:dyDescent="0.45">
      <c r="B2" s="23" t="s">
        <v>49</v>
      </c>
      <c r="C2" s="23"/>
    </row>
    <row r="3" spans="2:9" ht="15.75" x14ac:dyDescent="0.45">
      <c r="B3" s="23" t="s">
        <v>145</v>
      </c>
    </row>
    <row r="4" spans="2:9" ht="15.75" x14ac:dyDescent="0.45">
      <c r="B4" s="23"/>
    </row>
    <row r="5" spans="2:9" x14ac:dyDescent="0.45">
      <c r="B5" s="30" t="s">
        <v>94</v>
      </c>
      <c r="C5" s="191">
        <v>17000000</v>
      </c>
      <c r="D5" s="190">
        <f>Summary!O47-Input!C5</f>
        <v>0</v>
      </c>
      <c r="E5" s="71" t="s">
        <v>133</v>
      </c>
    </row>
    <row r="6" spans="2:9" x14ac:dyDescent="0.45">
      <c r="B6" s="30"/>
      <c r="C6" s="199"/>
      <c r="D6" s="190"/>
      <c r="E6" s="71"/>
    </row>
    <row r="7" spans="2:9" x14ac:dyDescent="0.45">
      <c r="B7" s="30" t="s">
        <v>134</v>
      </c>
      <c r="C7" s="206" t="s">
        <v>137</v>
      </c>
      <c r="D7" s="190"/>
      <c r="E7" s="71"/>
    </row>
    <row r="8" spans="2:9" x14ac:dyDescent="0.45">
      <c r="B8" t="s">
        <v>44</v>
      </c>
      <c r="C8" s="209">
        <v>50000</v>
      </c>
      <c r="D8" s="204">
        <v>9</v>
      </c>
      <c r="E8" s="71"/>
    </row>
    <row r="9" spans="2:9" x14ac:dyDescent="0.45">
      <c r="B9" t="s">
        <v>45</v>
      </c>
      <c r="C9" s="196">
        <f>C8*1.5</f>
        <v>75000</v>
      </c>
      <c r="D9" s="204">
        <v>13</v>
      </c>
      <c r="E9" s="71"/>
    </row>
    <row r="10" spans="2:9" x14ac:dyDescent="0.45">
      <c r="B10" t="s">
        <v>46</v>
      </c>
      <c r="C10" s="194">
        <f>C8*2</f>
        <v>100000</v>
      </c>
      <c r="D10" s="204">
        <v>7</v>
      </c>
      <c r="E10" s="71"/>
    </row>
    <row r="11" spans="2:9" x14ac:dyDescent="0.45">
      <c r="B11" t="s">
        <v>47</v>
      </c>
      <c r="C11" s="194">
        <f>C8*2.5</f>
        <v>125000</v>
      </c>
      <c r="D11" s="204">
        <v>3</v>
      </c>
      <c r="E11" s="71"/>
    </row>
    <row r="12" spans="2:9" x14ac:dyDescent="0.45">
      <c r="B12" t="s">
        <v>48</v>
      </c>
      <c r="C12" s="197">
        <f>C8*3</f>
        <v>150000</v>
      </c>
      <c r="D12" s="204">
        <v>4</v>
      </c>
      <c r="E12" s="71"/>
    </row>
    <row r="13" spans="2:9" x14ac:dyDescent="0.45">
      <c r="B13" t="s">
        <v>2</v>
      </c>
      <c r="C13" s="205">
        <f>C8*D8+C9*D9+C10*D10+C11*D11+C12*D12</f>
        <v>3100000</v>
      </c>
      <c r="D13" s="190"/>
      <c r="E13" s="71"/>
    </row>
    <row r="14" spans="2:9" x14ac:dyDescent="0.45">
      <c r="B14" s="30"/>
      <c r="C14" s="199"/>
      <c r="D14" s="190"/>
      <c r="E14" s="71"/>
    </row>
    <row r="15" spans="2:9" ht="28.5" x14ac:dyDescent="0.45">
      <c r="C15" s="203" t="s">
        <v>135</v>
      </c>
      <c r="D15" s="203" t="s">
        <v>136</v>
      </c>
    </row>
    <row r="16" spans="2:9" x14ac:dyDescent="0.45">
      <c r="B16" s="30" t="s">
        <v>88</v>
      </c>
      <c r="C16" s="201">
        <f>IF(C5&lt;10000000,1860000/C5,18.45%)</f>
        <v>0.1845</v>
      </c>
      <c r="D16" s="49">
        <f>C13/C5</f>
        <v>0.18235294117647058</v>
      </c>
      <c r="H16" s="200"/>
      <c r="I16" s="193"/>
    </row>
    <row r="17" spans="2:11" x14ac:dyDescent="0.45">
      <c r="B17" t="s">
        <v>35</v>
      </c>
      <c r="C17" s="202">
        <f>IF(C5&lt;10000000,30000/C5,C16*(1/62))</f>
        <v>2.975806451612903E-3</v>
      </c>
      <c r="D17" s="6"/>
      <c r="H17" s="193"/>
      <c r="I17" s="195"/>
    </row>
    <row r="18" spans="2:11" x14ac:dyDescent="0.45">
      <c r="B18" t="s">
        <v>24</v>
      </c>
      <c r="C18" s="202">
        <f>C17*1.5</f>
        <v>4.4637096774193547E-3</v>
      </c>
      <c r="D18" s="6"/>
      <c r="H18" s="193"/>
      <c r="I18" s="195"/>
    </row>
    <row r="19" spans="2:11" x14ac:dyDescent="0.45">
      <c r="B19" t="s">
        <v>22</v>
      </c>
      <c r="C19" s="202">
        <f>C17*2</f>
        <v>5.951612903225806E-3</v>
      </c>
      <c r="D19" s="6"/>
      <c r="H19" s="193"/>
      <c r="I19" s="195"/>
    </row>
    <row r="20" spans="2:11" x14ac:dyDescent="0.45">
      <c r="B20" t="s">
        <v>23</v>
      </c>
      <c r="C20" s="202">
        <f>C17*2.5</f>
        <v>7.4395161290322573E-3</v>
      </c>
      <c r="D20" s="6"/>
      <c r="H20" s="193"/>
      <c r="I20" s="195"/>
    </row>
    <row r="21" spans="2:11" x14ac:dyDescent="0.45">
      <c r="B21" t="s">
        <v>36</v>
      </c>
      <c r="C21" s="202">
        <f>C17*3</f>
        <v>8.9274193548387094E-3</v>
      </c>
      <c r="D21" s="47"/>
      <c r="H21" s="193"/>
      <c r="I21" s="195"/>
      <c r="K21" s="195"/>
    </row>
    <row r="22" spans="2:11" x14ac:dyDescent="0.45">
      <c r="C22" s="34"/>
      <c r="D22" s="47"/>
      <c r="H22" s="193"/>
      <c r="I22" s="195"/>
      <c r="K22" s="195"/>
    </row>
    <row r="23" spans="2:11" x14ac:dyDescent="0.45">
      <c r="C23" s="34"/>
      <c r="D23" s="47"/>
      <c r="H23" s="193"/>
      <c r="I23" s="195"/>
      <c r="K23" s="195"/>
    </row>
    <row r="24" spans="2:11" ht="28.5" x14ac:dyDescent="0.45">
      <c r="C24" s="203" t="s">
        <v>136</v>
      </c>
      <c r="F24" s="203"/>
    </row>
    <row r="25" spans="2:11" x14ac:dyDescent="0.45">
      <c r="B25" s="30" t="s">
        <v>87</v>
      </c>
      <c r="C25" s="50">
        <f>1-D16-C36-C39</f>
        <v>0.81764705882352939</v>
      </c>
      <c r="D25" s="22">
        <f>SUM(D26:D33)-1</f>
        <v>0</v>
      </c>
      <c r="F25" s="207"/>
      <c r="G25" s="185"/>
    </row>
    <row r="26" spans="2:11" x14ac:dyDescent="0.45">
      <c r="B26" t="s">
        <v>25</v>
      </c>
      <c r="C26" s="34">
        <f t="shared" ref="C26:C33" si="0">$C$25*D26</f>
        <v>0</v>
      </c>
      <c r="D26" s="52">
        <v>0</v>
      </c>
      <c r="F26" s="185"/>
      <c r="G26" s="185"/>
    </row>
    <row r="27" spans="2:11" x14ac:dyDescent="0.45">
      <c r="B27" t="s">
        <v>26</v>
      </c>
      <c r="C27" s="34">
        <f t="shared" si="0"/>
        <v>0.13627450980392156</v>
      </c>
      <c r="D27" s="52">
        <f>1/6</f>
        <v>0.16666666666666666</v>
      </c>
      <c r="F27" s="34"/>
      <c r="G27" s="208"/>
    </row>
    <row r="28" spans="2:11" x14ac:dyDescent="0.45">
      <c r="B28" t="s">
        <v>27</v>
      </c>
      <c r="C28" s="34">
        <f t="shared" si="0"/>
        <v>0.13627450980392156</v>
      </c>
      <c r="D28" s="52">
        <f>1/6</f>
        <v>0.16666666666666666</v>
      </c>
      <c r="F28" s="34"/>
      <c r="G28" s="208"/>
    </row>
    <row r="29" spans="2:11" x14ac:dyDescent="0.45">
      <c r="B29" t="s">
        <v>28</v>
      </c>
      <c r="C29" s="34">
        <f t="shared" si="0"/>
        <v>0.13627450980392156</v>
      </c>
      <c r="D29" s="52">
        <f>1/6</f>
        <v>0.16666666666666666</v>
      </c>
      <c r="F29" s="34"/>
      <c r="G29" s="208"/>
    </row>
    <row r="30" spans="2:11" x14ac:dyDescent="0.45">
      <c r="B30" t="s">
        <v>86</v>
      </c>
      <c r="C30" s="34">
        <f t="shared" si="0"/>
        <v>0.13627450980392156</v>
      </c>
      <c r="D30" s="52">
        <f>1/6</f>
        <v>0.16666666666666666</v>
      </c>
      <c r="F30" s="34"/>
      <c r="G30" s="208"/>
    </row>
    <row r="31" spans="2:11" x14ac:dyDescent="0.45">
      <c r="B31" t="s">
        <v>29</v>
      </c>
      <c r="C31" s="34">
        <f t="shared" si="0"/>
        <v>6.8137254901960778E-2</v>
      </c>
      <c r="D31" s="52">
        <f>1/12</f>
        <v>8.3333333333333329E-2</v>
      </c>
      <c r="F31" s="34"/>
      <c r="G31" s="208"/>
    </row>
    <row r="32" spans="2:11" x14ac:dyDescent="0.45">
      <c r="B32" t="s">
        <v>38</v>
      </c>
      <c r="C32" s="34">
        <f t="shared" si="0"/>
        <v>6.8137254901960778E-2</v>
      </c>
      <c r="D32" s="52">
        <f>1/12</f>
        <v>8.3333333333333329E-2</v>
      </c>
      <c r="F32" s="34"/>
      <c r="G32" s="208"/>
    </row>
    <row r="33" spans="2:7" x14ac:dyDescent="0.45">
      <c r="B33" t="s">
        <v>30</v>
      </c>
      <c r="C33" s="34">
        <f t="shared" si="0"/>
        <v>0.13627450980392156</v>
      </c>
      <c r="D33" s="52">
        <f>1/6</f>
        <v>0.16666666666666666</v>
      </c>
      <c r="F33" s="34"/>
      <c r="G33" s="208"/>
    </row>
    <row r="34" spans="2:7" x14ac:dyDescent="0.45">
      <c r="C34" s="29"/>
      <c r="D34" s="22"/>
    </row>
    <row r="35" spans="2:7" x14ac:dyDescent="0.45">
      <c r="C35" s="29"/>
    </row>
    <row r="36" spans="2:7" x14ac:dyDescent="0.45">
      <c r="B36" s="30" t="s">
        <v>31</v>
      </c>
      <c r="C36" s="49">
        <f>IF($C$5&gt;=150000000,0.05,0)</f>
        <v>0</v>
      </c>
      <c r="D36" s="71" t="s">
        <v>146</v>
      </c>
    </row>
    <row r="37" spans="2:7" x14ac:dyDescent="0.45">
      <c r="B37" s="90" t="s">
        <v>112</v>
      </c>
      <c r="C37" s="91">
        <v>0.5</v>
      </c>
    </row>
    <row r="38" spans="2:7" x14ac:dyDescent="0.45">
      <c r="B38" s="30"/>
      <c r="C38" s="89"/>
    </row>
    <row r="39" spans="2:7" x14ac:dyDescent="0.45">
      <c r="B39" s="30" t="s">
        <v>32</v>
      </c>
      <c r="C39" s="49">
        <f>IF($C$5&gt;=150000000,0.01,0)</f>
        <v>0</v>
      </c>
      <c r="D39" s="71" t="s">
        <v>146</v>
      </c>
    </row>
    <row r="40" spans="2:7" x14ac:dyDescent="0.45">
      <c r="B40" s="92" t="s">
        <v>113</v>
      </c>
      <c r="C40" s="91">
        <v>0.24</v>
      </c>
    </row>
    <row r="41" spans="2:7" x14ac:dyDescent="0.45">
      <c r="B41" s="30"/>
      <c r="C41" s="89"/>
    </row>
    <row r="42" spans="2:7" x14ac:dyDescent="0.45">
      <c r="B42" s="71" t="s">
        <v>102</v>
      </c>
      <c r="C42" s="34">
        <f>$C$39*D42</f>
        <v>0</v>
      </c>
      <c r="D42" s="52">
        <v>1</v>
      </c>
    </row>
    <row r="43" spans="2:7" x14ac:dyDescent="0.45">
      <c r="B43" s="71" t="s">
        <v>103</v>
      </c>
      <c r="C43" s="34">
        <f>$C$39*D43</f>
        <v>0</v>
      </c>
      <c r="D43" s="52">
        <v>0</v>
      </c>
    </row>
    <row r="44" spans="2:7" hidden="1" x14ac:dyDescent="0.45">
      <c r="B44" s="71" t="s">
        <v>104</v>
      </c>
      <c r="C44" s="34">
        <f>$C$39*D44</f>
        <v>0</v>
      </c>
      <c r="D44" s="52">
        <v>0</v>
      </c>
    </row>
    <row r="45" spans="2:7" hidden="1" x14ac:dyDescent="0.45">
      <c r="B45" s="71" t="s">
        <v>105</v>
      </c>
      <c r="C45" s="34">
        <f>$C$39*D45</f>
        <v>0</v>
      </c>
      <c r="D45" s="52">
        <v>0</v>
      </c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3:H41"/>
  <sheetViews>
    <sheetView workbookViewId="0"/>
  </sheetViews>
  <sheetFormatPr defaultRowHeight="14.25" x14ac:dyDescent="0.45"/>
  <cols>
    <col min="2" max="2" width="17.3984375" bestFit="1" customWidth="1"/>
    <col min="3" max="3" width="11.86328125" bestFit="1" customWidth="1"/>
    <col min="4" max="4" width="6.1328125" bestFit="1" customWidth="1"/>
    <col min="5" max="5" width="10.59765625" bestFit="1" customWidth="1"/>
    <col min="6" max="6" width="9.73046875" bestFit="1" customWidth="1"/>
    <col min="7" max="7" width="14.1328125" customWidth="1"/>
    <col min="8" max="8" width="10" bestFit="1" customWidth="1"/>
  </cols>
  <sheetData>
    <row r="3" spans="2:8" x14ac:dyDescent="0.45">
      <c r="B3" t="s">
        <v>0</v>
      </c>
      <c r="C3" s="1">
        <f>'County Data'!C5</f>
        <v>17000000</v>
      </c>
    </row>
    <row r="4" spans="2:8" x14ac:dyDescent="0.45">
      <c r="B4" t="s">
        <v>41</v>
      </c>
      <c r="C4" s="14">
        <f>'County Data'!H9</f>
        <v>1158333.3333333333</v>
      </c>
      <c r="D4" s="9"/>
    </row>
    <row r="6" spans="2:8" s="2" customFormat="1" ht="28.5" x14ac:dyDescent="0.45">
      <c r="B6" s="3" t="s">
        <v>7</v>
      </c>
      <c r="C6" s="3" t="s">
        <v>1</v>
      </c>
      <c r="D6" s="3" t="s">
        <v>14</v>
      </c>
      <c r="E6" s="3" t="s">
        <v>33</v>
      </c>
      <c r="F6" s="3" t="s">
        <v>34</v>
      </c>
      <c r="G6" s="13" t="s">
        <v>13</v>
      </c>
      <c r="H6" s="3" t="s">
        <v>6</v>
      </c>
    </row>
    <row r="7" spans="2:8" x14ac:dyDescent="0.45">
      <c r="B7" s="20" t="str">
        <f>+'County Data'!$B$12</f>
        <v>Clackamas</v>
      </c>
      <c r="C7" s="15">
        <f>VLOOKUP($B7,'County Data'!$B$10:$L$46,2,FALSE)</f>
        <v>423420</v>
      </c>
      <c r="D7" s="29">
        <f>VLOOKUP($B7,'County Data'!$B$10:$L$46,7,FALSE)</f>
        <v>0.13811687940583775</v>
      </c>
      <c r="E7" s="31">
        <f t="shared" ref="E7:E40" si="0">C7*D7</f>
        <v>58481.449078019818</v>
      </c>
      <c r="F7" s="6">
        <f t="shared" ref="F7:F40" si="1">E7/$E$41</f>
        <v>5.9253286789659604E-2</v>
      </c>
      <c r="G7" s="14">
        <f t="shared" ref="G7:G40" si="2">$C$4*F7</f>
        <v>68635.057198022376</v>
      </c>
      <c r="H7" s="10">
        <f t="shared" ref="H7:H40" si="3">G7/C7</f>
        <v>0.16209687118705393</v>
      </c>
    </row>
    <row r="8" spans="2:8" x14ac:dyDescent="0.45">
      <c r="B8" s="20" t="str">
        <f>+'County Data'!$B$44</f>
        <v>Washington</v>
      </c>
      <c r="C8" s="15">
        <f>VLOOKUP($B8,'County Data'!$B$10:$L$46,2,FALSE)</f>
        <v>613410</v>
      </c>
      <c r="D8" s="29">
        <f>VLOOKUP($B8,'County Data'!$B$10:$L$46,7,FALSE)</f>
        <v>0.16330220782308263</v>
      </c>
      <c r="E8" s="31">
        <f t="shared" si="0"/>
        <v>100171.20730075712</v>
      </c>
      <c r="F8" s="6">
        <f t="shared" si="1"/>
        <v>0.1014932661182817</v>
      </c>
      <c r="G8" s="14">
        <f t="shared" si="2"/>
        <v>117563.0332536763</v>
      </c>
      <c r="H8" s="10">
        <f t="shared" si="3"/>
        <v>0.19165490170306371</v>
      </c>
    </row>
    <row r="9" spans="2:8" x14ac:dyDescent="0.45">
      <c r="B9" s="20" t="str">
        <f>+'County Data'!$B$18</f>
        <v>Deschutes</v>
      </c>
      <c r="C9" s="15">
        <f>VLOOKUP($B9,'County Data'!$B$10:$L$46,2,FALSE)</f>
        <v>193000</v>
      </c>
      <c r="D9" s="29">
        <f>VLOOKUP($B9,'County Data'!$B$10:$L$46,7,FALSE)</f>
        <v>0.18767801513128615</v>
      </c>
      <c r="E9" s="31">
        <f t="shared" si="0"/>
        <v>36221.856920338229</v>
      </c>
      <c r="F9" s="6">
        <f t="shared" si="1"/>
        <v>3.669991270721587E-2</v>
      </c>
      <c r="G9" s="14">
        <f t="shared" si="2"/>
        <v>42510.732219191712</v>
      </c>
      <c r="H9" s="10">
        <f t="shared" si="3"/>
        <v>0.22026286123933531</v>
      </c>
    </row>
    <row r="10" spans="2:8" x14ac:dyDescent="0.45">
      <c r="B10" s="20" t="str">
        <f>+'County Data'!$B$14</f>
        <v>Columbia</v>
      </c>
      <c r="C10" s="15">
        <f>VLOOKUP($B10,'County Data'!$B$10:$L$46,2,FALSE)</f>
        <v>52750</v>
      </c>
      <c r="D10" s="29">
        <f>VLOOKUP($B10,'County Data'!$B$10:$L$46,7,FALSE)</f>
        <v>0.21043750992536128</v>
      </c>
      <c r="E10" s="31">
        <f t="shared" si="0"/>
        <v>11100.578648562807</v>
      </c>
      <c r="F10" s="6">
        <f t="shared" si="1"/>
        <v>1.1247083999525535E-2</v>
      </c>
      <c r="G10" s="14">
        <f t="shared" si="2"/>
        <v>13027.87229945041</v>
      </c>
      <c r="H10" s="10">
        <f t="shared" si="3"/>
        <v>0.2469738824540362</v>
      </c>
    </row>
    <row r="11" spans="2:8" x14ac:dyDescent="0.45">
      <c r="B11" s="20" t="str">
        <f>+'County Data'!$B$37</f>
        <v>Polk</v>
      </c>
      <c r="C11" s="15">
        <f>VLOOKUP($B11,'County Data'!$B$10:$L$46,2,FALSE)</f>
        <v>82940</v>
      </c>
      <c r="D11" s="29">
        <f>VLOOKUP($B11,'County Data'!$B$10:$L$46,7,FALSE)</f>
        <v>0.23463420155701728</v>
      </c>
      <c r="E11" s="31">
        <f t="shared" si="0"/>
        <v>19460.560677139012</v>
      </c>
      <c r="F11" s="6">
        <f t="shared" si="1"/>
        <v>1.9717401006116353E-2</v>
      </c>
      <c r="G11" s="14">
        <f t="shared" si="2"/>
        <v>22839.322832084774</v>
      </c>
      <c r="H11" s="10">
        <f t="shared" si="3"/>
        <v>0.27537162806950533</v>
      </c>
    </row>
    <row r="12" spans="2:8" x14ac:dyDescent="0.45">
      <c r="B12" s="20" t="str">
        <f>+'County Data'!$B$23</f>
        <v>Hood River</v>
      </c>
      <c r="C12" s="15">
        <f>VLOOKUP($B12,'County Data'!$B$10:$L$46,2,FALSE)</f>
        <v>25480</v>
      </c>
      <c r="D12" s="29">
        <f>VLOOKUP($B12,'County Data'!$B$10:$L$46,7,FALSE)</f>
        <v>0.2071000743234381</v>
      </c>
      <c r="E12" s="31">
        <f t="shared" si="0"/>
        <v>5276.9098937612025</v>
      </c>
      <c r="F12" s="6">
        <f t="shared" si="1"/>
        <v>5.3465545096375352E-3</v>
      </c>
      <c r="G12" s="14">
        <f t="shared" si="2"/>
        <v>6193.0923069968112</v>
      </c>
      <c r="H12" s="10">
        <f t="shared" si="3"/>
        <v>0.24305699791981206</v>
      </c>
    </row>
    <row r="13" spans="2:8" x14ac:dyDescent="0.45">
      <c r="B13" s="20" t="str">
        <f>+'County Data'!$B$46</f>
        <v>Yamhill</v>
      </c>
      <c r="C13" s="15">
        <f>VLOOKUP($B13,'County Data'!$B$10:$L$46,2,FALSE)</f>
        <v>108060</v>
      </c>
      <c r="D13" s="29">
        <f>VLOOKUP($B13,'County Data'!$B$10:$L$46,7,FALSE)</f>
        <v>0.21567317522496532</v>
      </c>
      <c r="E13" s="31">
        <f t="shared" si="0"/>
        <v>23305.643314809753</v>
      </c>
      <c r="F13" s="6">
        <f t="shared" si="1"/>
        <v>2.361323101463569E-2</v>
      </c>
      <c r="G13" s="14">
        <f t="shared" si="2"/>
        <v>27351.992591953007</v>
      </c>
      <c r="H13" s="10">
        <f t="shared" si="3"/>
        <v>0.2531185692388766</v>
      </c>
    </row>
    <row r="14" spans="2:8" x14ac:dyDescent="0.45">
      <c r="B14" s="20" t="str">
        <f>+'County Data'!$B$35</f>
        <v>Multnomah</v>
      </c>
      <c r="C14" s="15">
        <f>VLOOKUP($B14,'County Data'!$B$10:$L$46,2,FALSE)</f>
        <v>821730</v>
      </c>
      <c r="D14" s="29">
        <f>VLOOKUP($B14,'County Data'!$B$10:$L$46,7,FALSE)</f>
        <v>0.23381795591069882</v>
      </c>
      <c r="E14" s="31">
        <f t="shared" si="0"/>
        <v>192135.22891049852</v>
      </c>
      <c r="F14" s="6">
        <f t="shared" si="1"/>
        <v>0.19467102817241189</v>
      </c>
      <c r="G14" s="14">
        <f t="shared" si="2"/>
        <v>225493.94096637709</v>
      </c>
      <c r="H14" s="10">
        <f t="shared" si="3"/>
        <v>0.27441366503155185</v>
      </c>
    </row>
    <row r="15" spans="2:8" x14ac:dyDescent="0.45">
      <c r="B15" s="20" t="str">
        <f>+'County Data'!$B$42</f>
        <v>Wallowa</v>
      </c>
      <c r="C15" s="15">
        <f>VLOOKUP($B15,'County Data'!$B$10:$L$46,2,FALSE)</f>
        <v>7150</v>
      </c>
      <c r="D15" s="29">
        <f>VLOOKUP($B15,'County Data'!$B$10:$L$46,7,FALSE)</f>
        <v>0.25040316669110102</v>
      </c>
      <c r="E15" s="31">
        <f t="shared" si="0"/>
        <v>1790.3826418413723</v>
      </c>
      <c r="F15" s="6">
        <f t="shared" si="1"/>
        <v>1.8140120980710713E-3</v>
      </c>
      <c r="G15" s="14">
        <f t="shared" si="2"/>
        <v>2101.2306802656576</v>
      </c>
      <c r="H15" s="10">
        <f t="shared" si="3"/>
        <v>0.29387841682037169</v>
      </c>
    </row>
    <row r="16" spans="2:8" x14ac:dyDescent="0.45">
      <c r="B16" s="20" t="str">
        <f>+'County Data'!$B$13</f>
        <v>Clatsop</v>
      </c>
      <c r="C16" s="15">
        <f>VLOOKUP($B16,'County Data'!$B$10:$L$46,2,FALSE)</f>
        <v>39330</v>
      </c>
      <c r="D16" s="29">
        <f>VLOOKUP($B16,'County Data'!$B$10:$L$46,7,FALSE)</f>
        <v>0.22943563260789376</v>
      </c>
      <c r="E16" s="31">
        <f t="shared" si="0"/>
        <v>9023.7034304684621</v>
      </c>
      <c r="F16" s="6">
        <f t="shared" si="1"/>
        <v>9.1427981984007201E-3</v>
      </c>
      <c r="G16" s="14">
        <f t="shared" si="2"/>
        <v>10590.407913147499</v>
      </c>
      <c r="H16" s="10">
        <f t="shared" si="3"/>
        <v>0.26927047834089751</v>
      </c>
    </row>
    <row r="17" spans="2:8" x14ac:dyDescent="0.45">
      <c r="B17" s="20" t="str">
        <f>+'County Data'!$B$36</f>
        <v>Gilliam, Sherman, Wasco</v>
      </c>
      <c r="C17" s="15">
        <f>VLOOKUP($B17,'County Data'!$B$10:$L$46,2,FALSE)</f>
        <v>31000</v>
      </c>
      <c r="D17" s="29">
        <f>VLOOKUP($B17,'County Data'!$B$10:$L$46,7,FALSE)</f>
        <v>0.23854671280276818</v>
      </c>
      <c r="E17" s="31">
        <f t="shared" si="0"/>
        <v>7394.9480968858134</v>
      </c>
      <c r="F17" s="6">
        <f t="shared" si="1"/>
        <v>7.4925465645499911E-3</v>
      </c>
      <c r="G17" s="14">
        <f t="shared" si="2"/>
        <v>8678.8664372704061</v>
      </c>
      <c r="H17" s="10">
        <f t="shared" si="3"/>
        <v>0.2799634334603357</v>
      </c>
    </row>
    <row r="18" spans="2:8" x14ac:dyDescent="0.45">
      <c r="B18" s="20" t="str">
        <f>+'County Data'!$B$34</f>
        <v>Morrow</v>
      </c>
      <c r="C18" s="15">
        <f>VLOOKUP($B18,'County Data'!$B$10:$L$46,2,FALSE)</f>
        <v>12680</v>
      </c>
      <c r="D18" s="29">
        <f>VLOOKUP($B18,'County Data'!$B$10:$L$46,7,FALSE)</f>
        <v>0.29377013963480131</v>
      </c>
      <c r="E18" s="31">
        <f t="shared" si="0"/>
        <v>3725.0053705692808</v>
      </c>
      <c r="F18" s="6">
        <f t="shared" si="1"/>
        <v>3.7741679625773968E-3</v>
      </c>
      <c r="G18" s="14">
        <f t="shared" si="2"/>
        <v>4371.744556652151</v>
      </c>
      <c r="H18" s="10">
        <f t="shared" si="3"/>
        <v>0.34477480730695198</v>
      </c>
    </row>
    <row r="19" spans="2:8" x14ac:dyDescent="0.45">
      <c r="B19" s="20" t="str">
        <f>+'County Data'!$B$39</f>
        <v>Tillamook</v>
      </c>
      <c r="C19" s="15">
        <f>VLOOKUP($B19,'County Data'!$B$10:$L$46,2,FALSE)</f>
        <v>26500</v>
      </c>
      <c r="D19" s="29">
        <f>VLOOKUP($B19,'County Data'!$B$10:$L$46,7,FALSE)</f>
        <v>0.25437453094758461</v>
      </c>
      <c r="E19" s="31">
        <f t="shared" si="0"/>
        <v>6740.9250701109922</v>
      </c>
      <c r="F19" s="6">
        <f t="shared" si="1"/>
        <v>6.829891746937153E-3</v>
      </c>
      <c r="G19" s="14">
        <f t="shared" si="2"/>
        <v>7911.2912735355349</v>
      </c>
      <c r="H19" s="10">
        <f t="shared" si="3"/>
        <v>0.29853929334096357</v>
      </c>
    </row>
    <row r="20" spans="2:8" x14ac:dyDescent="0.45">
      <c r="B20" s="20" t="str">
        <f>+'County Data'!$B$10</f>
        <v>Baker</v>
      </c>
      <c r="C20" s="15">
        <f>VLOOKUP($B20,'County Data'!$B$10:$L$46,2,FALSE)</f>
        <v>16820</v>
      </c>
      <c r="D20" s="29">
        <f>VLOOKUP($B20,'County Data'!$B$10:$L$46,7,FALSE)</f>
        <v>0.26671850699844479</v>
      </c>
      <c r="E20" s="31">
        <f t="shared" si="0"/>
        <v>4486.2052877138412</v>
      </c>
      <c r="F20" s="6">
        <f t="shared" si="1"/>
        <v>4.5454141903283419E-3</v>
      </c>
      <c r="G20" s="14">
        <f t="shared" si="2"/>
        <v>5265.1047704636621</v>
      </c>
      <c r="H20" s="10">
        <f t="shared" si="3"/>
        <v>0.3130264429526553</v>
      </c>
    </row>
    <row r="21" spans="2:8" x14ac:dyDescent="0.45">
      <c r="B21" s="20" t="str">
        <f>+'County Data'!$B$17</f>
        <v>Curry</v>
      </c>
      <c r="C21" s="15">
        <f>VLOOKUP($B21,'County Data'!$B$10:$L$46,2,FALSE)</f>
        <v>23000</v>
      </c>
      <c r="D21" s="29">
        <f>VLOOKUP($B21,'County Data'!$B$10:$L$46,7,FALSE)</f>
        <v>0.24108864278348205</v>
      </c>
      <c r="E21" s="31">
        <f t="shared" si="0"/>
        <v>5545.0387840200874</v>
      </c>
      <c r="F21" s="6">
        <f t="shared" si="1"/>
        <v>5.6182221629117795E-3</v>
      </c>
      <c r="G21" s="14">
        <f t="shared" si="2"/>
        <v>6507.7740053728112</v>
      </c>
      <c r="H21" s="10">
        <f t="shared" si="3"/>
        <v>0.28294669588577442</v>
      </c>
    </row>
    <row r="22" spans="2:8" x14ac:dyDescent="0.45">
      <c r="B22" s="20" t="str">
        <f>+'County Data'!$B$31</f>
        <v>Linn</v>
      </c>
      <c r="C22" s="15">
        <f>VLOOKUP($B22,'County Data'!$B$10:$L$46,2,FALSE)</f>
        <v>126550</v>
      </c>
      <c r="D22" s="29">
        <f>VLOOKUP($B22,'County Data'!$B$10:$L$46,7,FALSE)</f>
        <v>0.25578581775085596</v>
      </c>
      <c r="E22" s="31">
        <f t="shared" si="0"/>
        <v>32369.695236370822</v>
      </c>
      <c r="F22" s="6">
        <f t="shared" si="1"/>
        <v>3.2796910223201713E-2</v>
      </c>
      <c r="G22" s="14">
        <f t="shared" si="2"/>
        <v>37989.754341875312</v>
      </c>
      <c r="H22" s="10">
        <f t="shared" si="3"/>
        <v>0.30019560918115618</v>
      </c>
    </row>
    <row r="23" spans="2:8" x14ac:dyDescent="0.45">
      <c r="B23" s="20" t="str">
        <f>+'County Data'!$B$22</f>
        <v>Harney</v>
      </c>
      <c r="C23" s="15">
        <f>VLOOKUP($B23,'County Data'!$B$10:$L$46,2,FALSE)</f>
        <v>7360</v>
      </c>
      <c r="D23" s="29">
        <f>VLOOKUP($B23,'County Data'!$B$10:$L$46,7,FALSE)</f>
        <v>0.27595435976898153</v>
      </c>
      <c r="E23" s="31">
        <f t="shared" si="0"/>
        <v>2031.024087899704</v>
      </c>
      <c r="F23" s="6">
        <f t="shared" si="1"/>
        <v>2.0578295280692599E-3</v>
      </c>
      <c r="G23" s="14">
        <f t="shared" si="2"/>
        <v>2383.6525366802261</v>
      </c>
      <c r="H23" s="10">
        <f t="shared" si="3"/>
        <v>0.32386583378807421</v>
      </c>
    </row>
    <row r="24" spans="2:8" x14ac:dyDescent="0.45">
      <c r="B24" s="20" t="str">
        <f>+'County Data'!$B$21</f>
        <v>Grant</v>
      </c>
      <c r="C24" s="15">
        <f>VLOOKUP($B24,'County Data'!$B$10:$L$46,2,FALSE)</f>
        <v>7360</v>
      </c>
      <c r="D24" s="29">
        <f>VLOOKUP($B24,'County Data'!$B$10:$L$46,7,FALSE)</f>
        <v>0.27554486272289841</v>
      </c>
      <c r="E24" s="31">
        <f t="shared" si="0"/>
        <v>2028.0101896405322</v>
      </c>
      <c r="F24" s="6">
        <f t="shared" si="1"/>
        <v>2.0547758524042245E-3</v>
      </c>
      <c r="G24" s="14">
        <f t="shared" si="2"/>
        <v>2380.1153623682267</v>
      </c>
      <c r="H24" s="10">
        <f t="shared" si="3"/>
        <v>0.32338523945220471</v>
      </c>
    </row>
    <row r="25" spans="2:8" x14ac:dyDescent="0.45">
      <c r="B25" s="20" t="str">
        <f>+'County Data'!$B$19</f>
        <v>Douglas</v>
      </c>
      <c r="C25" s="15">
        <f>VLOOKUP($B25,'County Data'!$B$10:$L$46,2,FALSE)</f>
        <v>112250</v>
      </c>
      <c r="D25" s="29">
        <f>VLOOKUP($B25,'County Data'!$B$10:$L$46,7,FALSE)</f>
        <v>0.27764111677500819</v>
      </c>
      <c r="E25" s="31">
        <f t="shared" si="0"/>
        <v>31165.215357994668</v>
      </c>
      <c r="F25" s="6">
        <f t="shared" si="1"/>
        <v>3.157653362872672E-2</v>
      </c>
      <c r="G25" s="14">
        <f t="shared" si="2"/>
        <v>36576.151453275117</v>
      </c>
      <c r="H25" s="10">
        <f t="shared" si="3"/>
        <v>0.32584544724521264</v>
      </c>
    </row>
    <row r="26" spans="2:8" x14ac:dyDescent="0.45">
      <c r="B26" s="20" t="str">
        <f>+'County Data'!$B$24</f>
        <v>Jackson</v>
      </c>
      <c r="C26" s="15">
        <f>VLOOKUP($B26,'County Data'!$B$10:$L$46,2,FALSE)</f>
        <v>221290</v>
      </c>
      <c r="D26" s="29">
        <f>VLOOKUP($B26,'County Data'!$B$10:$L$46,7,FALSE)</f>
        <v>0.26824137573224915</v>
      </c>
      <c r="E26" s="31">
        <f t="shared" si="0"/>
        <v>59359.134035789415</v>
      </c>
      <c r="F26" s="6">
        <f t="shared" si="1"/>
        <v>6.0142555426698878E-2</v>
      </c>
      <c r="G26" s="14">
        <f t="shared" si="2"/>
        <v>69665.126702592868</v>
      </c>
      <c r="H26" s="10">
        <f t="shared" si="3"/>
        <v>0.31481371369059996</v>
      </c>
    </row>
    <row r="27" spans="2:8" x14ac:dyDescent="0.45">
      <c r="B27" s="20" t="str">
        <f>+'County Data'!$B$33</f>
        <v>Marion</v>
      </c>
      <c r="C27" s="15">
        <f>VLOOKUP($B27,'County Data'!$B$10:$L$46,2,FALSE)</f>
        <v>347760</v>
      </c>
      <c r="D27" s="29">
        <f>VLOOKUP($B27,'County Data'!$B$10:$L$46,7,FALSE)</f>
        <v>0.27417406553517121</v>
      </c>
      <c r="E27" s="31">
        <f t="shared" si="0"/>
        <v>95346.773030511133</v>
      </c>
      <c r="F27" s="6">
        <f t="shared" si="1"/>
        <v>9.6605159001931382E-2</v>
      </c>
      <c r="G27" s="14">
        <f t="shared" si="2"/>
        <v>111900.97584390384</v>
      </c>
      <c r="H27" s="10">
        <f t="shared" si="3"/>
        <v>0.32177644307540787</v>
      </c>
    </row>
    <row r="28" spans="2:8" x14ac:dyDescent="0.45">
      <c r="B28" s="20" t="str">
        <f>+'County Data'!$B$40</f>
        <v>Umatilla</v>
      </c>
      <c r="C28" s="15">
        <f>VLOOKUP($B28,'County Data'!$B$10:$L$46,2,FALSE)</f>
        <v>81160</v>
      </c>
      <c r="D28" s="29">
        <f>VLOOKUP($B28,'County Data'!$B$10:$L$46,7,FALSE)</f>
        <v>0.2947186267045061</v>
      </c>
      <c r="E28" s="31">
        <f t="shared" si="0"/>
        <v>23919.363743337715</v>
      </c>
      <c r="F28" s="6">
        <f t="shared" si="1"/>
        <v>2.4235051320622397E-2</v>
      </c>
      <c r="G28" s="14">
        <f t="shared" si="2"/>
        <v>28072.26777972094</v>
      </c>
      <c r="H28" s="10">
        <f t="shared" si="3"/>
        <v>0.34588797165747831</v>
      </c>
    </row>
    <row r="29" spans="2:8" x14ac:dyDescent="0.45">
      <c r="B29" s="20" t="str">
        <f>+'County Data'!$B$30</f>
        <v>Lincoln</v>
      </c>
      <c r="C29" s="15">
        <f>VLOOKUP($B29,'County Data'!$B$10:$L$46,2,FALSE)</f>
        <v>48260</v>
      </c>
      <c r="D29" s="29">
        <f>VLOOKUP($B29,'County Data'!$B$10:$L$46,7,FALSE)</f>
        <v>0.28095601322145947</v>
      </c>
      <c r="E29" s="31">
        <f t="shared" si="0"/>
        <v>13558.937198067633</v>
      </c>
      <c r="F29" s="6">
        <f t="shared" si="1"/>
        <v>1.3737887946111896E-2</v>
      </c>
      <c r="G29" s="14">
        <f t="shared" si="2"/>
        <v>15913.053537579612</v>
      </c>
      <c r="H29" s="10">
        <f t="shared" si="3"/>
        <v>0.32973587935307941</v>
      </c>
    </row>
    <row r="30" spans="2:8" x14ac:dyDescent="0.45">
      <c r="B30" s="20" t="str">
        <f>+'County Data'!$B$11</f>
        <v>Benton</v>
      </c>
      <c r="C30" s="15">
        <f>VLOOKUP($B30,'County Data'!$B$10:$L$46,2,FALSE)</f>
        <v>94360</v>
      </c>
      <c r="D30" s="29">
        <f>VLOOKUP($B30,'County Data'!$B$10:$L$46,7,FALSE)</f>
        <v>0.2787920514707628</v>
      </c>
      <c r="E30" s="31">
        <f t="shared" si="0"/>
        <v>26306.817976781178</v>
      </c>
      <c r="F30" s="6">
        <f t="shared" si="1"/>
        <v>2.6654015156533598E-2</v>
      </c>
      <c r="G30" s="14">
        <f t="shared" si="2"/>
        <v>30874.234222984749</v>
      </c>
      <c r="H30" s="10">
        <f t="shared" si="3"/>
        <v>0.3271962083826277</v>
      </c>
    </row>
    <row r="31" spans="2:8" x14ac:dyDescent="0.45">
      <c r="B31" s="20" t="str">
        <f>+'County Data'!$B$29</f>
        <v>Lane</v>
      </c>
      <c r="C31" s="15">
        <f>VLOOKUP($B31,'County Data'!$B$10:$L$46,2,FALSE)</f>
        <v>378880</v>
      </c>
      <c r="D31" s="29">
        <f>VLOOKUP($B31,'County Data'!$B$10:$L$46,7,FALSE)</f>
        <v>0.28730761886047818</v>
      </c>
      <c r="E31" s="31">
        <f t="shared" si="0"/>
        <v>108855.11063385797</v>
      </c>
      <c r="F31" s="6">
        <f t="shared" si="1"/>
        <v>0.11029177954026356</v>
      </c>
      <c r="G31" s="14">
        <f t="shared" si="2"/>
        <v>127754.64463413862</v>
      </c>
      <c r="H31" s="10">
        <f t="shared" si="3"/>
        <v>0.33719025716358375</v>
      </c>
    </row>
    <row r="32" spans="2:8" x14ac:dyDescent="0.45">
      <c r="B32" s="20" t="str">
        <f>+'County Data'!$B$16</f>
        <v>Crook</v>
      </c>
      <c r="C32" s="15">
        <f>VLOOKUP($B32,'County Data'!$B$10:$L$46,2,FALSE)</f>
        <v>23440</v>
      </c>
      <c r="D32" s="29">
        <f>VLOOKUP($B32,'County Data'!$B$10:$L$46,7,FALSE)</f>
        <v>0.26902958152958151</v>
      </c>
      <c r="E32" s="31">
        <f t="shared" si="0"/>
        <v>6306.0533910533904</v>
      </c>
      <c r="F32" s="6">
        <f t="shared" si="1"/>
        <v>6.3892806348300555E-3</v>
      </c>
      <c r="G32" s="14">
        <f t="shared" si="2"/>
        <v>7400.9167353448138</v>
      </c>
      <c r="H32" s="10">
        <f t="shared" si="3"/>
        <v>0.31573876857273098</v>
      </c>
    </row>
    <row r="33" spans="2:8" x14ac:dyDescent="0.45">
      <c r="B33" s="20" t="str">
        <f>+'County Data'!$B$25</f>
        <v>Jefferson</v>
      </c>
      <c r="C33" s="15">
        <f>VLOOKUP($B33,'County Data'!$B$10:$L$46,2,FALSE)</f>
        <v>23840</v>
      </c>
      <c r="D33" s="29">
        <f>VLOOKUP($B33,'County Data'!$B$10:$L$46,7,FALSE)</f>
        <v>0.30349789583239062</v>
      </c>
      <c r="E33" s="31">
        <f t="shared" si="0"/>
        <v>7235.3898366441927</v>
      </c>
      <c r="F33" s="6">
        <f t="shared" si="1"/>
        <v>7.3308824556264432E-3</v>
      </c>
      <c r="G33" s="14">
        <f t="shared" si="2"/>
        <v>8491.6055111006299</v>
      </c>
      <c r="H33" s="10">
        <f t="shared" si="3"/>
        <v>0.35619150633811369</v>
      </c>
    </row>
    <row r="34" spans="2:8" x14ac:dyDescent="0.45">
      <c r="B34" s="20" t="str">
        <f>+'County Data'!$B$15</f>
        <v>Coos</v>
      </c>
      <c r="C34" s="15">
        <f>VLOOKUP($B34,'County Data'!$B$10:$L$46,2,FALSE)</f>
        <v>63290</v>
      </c>
      <c r="D34" s="29">
        <f>VLOOKUP($B34,'County Data'!$B$10:$L$46,7,FALSE)</f>
        <v>0.29889760747123673</v>
      </c>
      <c r="E34" s="31">
        <f t="shared" si="0"/>
        <v>18917.229576854574</v>
      </c>
      <c r="F34" s="6">
        <f t="shared" si="1"/>
        <v>1.9166899026181742E-2</v>
      </c>
      <c r="G34" s="14">
        <f t="shared" si="2"/>
        <v>22201.658038660516</v>
      </c>
      <c r="H34" s="10">
        <f t="shared" si="3"/>
        <v>0.35079251127603911</v>
      </c>
    </row>
    <row r="35" spans="2:8" x14ac:dyDescent="0.45">
      <c r="B35" s="20" t="str">
        <f>+'County Data'!$B$27</f>
        <v>Klamath</v>
      </c>
      <c r="C35" s="15">
        <f>VLOOKUP($B35,'County Data'!$B$10:$L$46,2,FALSE)</f>
        <v>68190</v>
      </c>
      <c r="D35" s="29">
        <f>VLOOKUP($B35,'County Data'!$B$10:$L$46,7,FALSE)</f>
        <v>0.33197549770290963</v>
      </c>
      <c r="E35" s="31">
        <f t="shared" si="0"/>
        <v>22637.409188361409</v>
      </c>
      <c r="F35" s="6">
        <f t="shared" si="1"/>
        <v>2.2936177539365991E-2</v>
      </c>
      <c r="G35" s="14">
        <f t="shared" si="2"/>
        <v>26567.738983098938</v>
      </c>
      <c r="H35" s="10">
        <f t="shared" si="3"/>
        <v>0.38961341814194073</v>
      </c>
    </row>
    <row r="36" spans="2:8" x14ac:dyDescent="0.45">
      <c r="B36" s="20" t="str">
        <f>'County Data'!$B$45</f>
        <v>Wheeler</v>
      </c>
      <c r="C36" s="15">
        <f>VLOOKUP($B36,'County Data'!$B$10:$L$46,2,FALSE)</f>
        <v>1440</v>
      </c>
      <c r="D36" s="29">
        <f>VLOOKUP($B36,'County Data'!$B$10:$L$46,7,FALSE)</f>
        <v>0.3383084577114428</v>
      </c>
      <c r="E36" s="31">
        <f t="shared" si="0"/>
        <v>487.16417910447763</v>
      </c>
      <c r="F36" s="6">
        <f t="shared" si="1"/>
        <v>4.9359376816427054E-4</v>
      </c>
      <c r="G36" s="14">
        <f t="shared" si="2"/>
        <v>571.74611479027999</v>
      </c>
      <c r="H36" s="10">
        <f t="shared" si="3"/>
        <v>0.39704591304880554</v>
      </c>
    </row>
    <row r="37" spans="2:8" x14ac:dyDescent="0.45">
      <c r="B37" s="20" t="str">
        <f>+'County Data'!$B$41</f>
        <v>Union</v>
      </c>
      <c r="C37" s="15">
        <f>VLOOKUP($B37,'County Data'!$B$10:$L$46,2,FALSE)</f>
        <v>26840</v>
      </c>
      <c r="D37" s="29">
        <f>VLOOKUP($B37,'County Data'!$B$10:$L$46,7,FALSE)</f>
        <v>0.30462135000395663</v>
      </c>
      <c r="E37" s="31">
        <f t="shared" si="0"/>
        <v>8176.0370341061962</v>
      </c>
      <c r="F37" s="6">
        <f t="shared" si="1"/>
        <v>8.2839443075095592E-3</v>
      </c>
      <c r="G37" s="14">
        <f t="shared" si="2"/>
        <v>9595.568822865238</v>
      </c>
      <c r="H37" s="10">
        <f t="shared" si="3"/>
        <v>0.35751001575503866</v>
      </c>
    </row>
    <row r="38" spans="2:8" x14ac:dyDescent="0.45">
      <c r="B38" s="20" t="str">
        <f>+'County Data'!$B$28</f>
        <v>Lake</v>
      </c>
      <c r="C38" s="15">
        <f>VLOOKUP($B38,'County Data'!$B$10:$L$46,2,FALSE)</f>
        <v>8080</v>
      </c>
      <c r="D38" s="29">
        <f>VLOOKUP($B38,'County Data'!$B$10:$L$46,7,FALSE)</f>
        <v>0.32648275862068965</v>
      </c>
      <c r="E38" s="31">
        <f t="shared" si="0"/>
        <v>2637.9806896551722</v>
      </c>
      <c r="F38" s="6">
        <f t="shared" si="1"/>
        <v>2.6727967383501534E-3</v>
      </c>
      <c r="G38" s="14">
        <f t="shared" si="2"/>
        <v>3095.989555255594</v>
      </c>
      <c r="H38" s="10">
        <f t="shared" si="3"/>
        <v>0.3831670241652963</v>
      </c>
    </row>
    <row r="39" spans="2:8" x14ac:dyDescent="0.45">
      <c r="B39" s="20" t="str">
        <f>+'County Data'!$B$26</f>
        <v>Josephine</v>
      </c>
      <c r="C39" s="15">
        <f>VLOOKUP($B39,'County Data'!$B$10:$L$46,2,FALSE)</f>
        <v>86750</v>
      </c>
      <c r="D39" s="29">
        <f>VLOOKUP($B39,'County Data'!$B$10:$L$46,7,FALSE)</f>
        <v>0.33520512729383611</v>
      </c>
      <c r="E39" s="31">
        <f t="shared" si="0"/>
        <v>29079.044792740282</v>
      </c>
      <c r="F39" s="6">
        <f t="shared" si="1"/>
        <v>2.9462829800522096E-2</v>
      </c>
      <c r="G39" s="14">
        <f t="shared" si="2"/>
        <v>34127.777852271429</v>
      </c>
      <c r="H39" s="10">
        <f t="shared" si="3"/>
        <v>0.39340377927690406</v>
      </c>
    </row>
    <row r="40" spans="2:8" x14ac:dyDescent="0.45">
      <c r="B40" s="20" t="str">
        <f>+'County Data'!$B$32</f>
        <v>Malheur</v>
      </c>
      <c r="C40" s="15">
        <f>VLOOKUP($B40,'County Data'!$B$10:$L$46,2,FALSE)</f>
        <v>32030</v>
      </c>
      <c r="D40" s="29">
        <f>VLOOKUP($B40,'County Data'!$B$10:$L$46,7,FALSE)</f>
        <v>0.36521673972500096</v>
      </c>
      <c r="E40" s="31">
        <f t="shared" si="0"/>
        <v>11697.892173391781</v>
      </c>
      <c r="F40" s="6">
        <f t="shared" si="1"/>
        <v>1.1852280863625402E-2</v>
      </c>
      <c r="G40" s="14">
        <f t="shared" si="2"/>
        <v>13728.89200036609</v>
      </c>
      <c r="H40" s="10">
        <f t="shared" si="3"/>
        <v>0.42862603810072086</v>
      </c>
    </row>
    <row r="41" spans="2:8" x14ac:dyDescent="0.45">
      <c r="B41" s="4" t="s">
        <v>2</v>
      </c>
      <c r="C41" s="5">
        <f>SUM(C7:C40)</f>
        <v>4236400</v>
      </c>
      <c r="D41" s="5"/>
      <c r="E41" s="5">
        <f>SUM(E7:E40)</f>
        <v>986973.92577765859</v>
      </c>
      <c r="F41" s="8">
        <f>SUM(F7:F40)</f>
        <v>0.99999999999999989</v>
      </c>
      <c r="G41" s="11">
        <f>SUM(G7:G40)</f>
        <v>1158333.3333333328</v>
      </c>
      <c r="H41" s="12">
        <f>G41/C41</f>
        <v>0.27342397633210574</v>
      </c>
    </row>
  </sheetData>
  <sortState xmlns:xlrd2="http://schemas.microsoft.com/office/spreadsheetml/2017/richdata2" ref="B7:H40">
    <sortCondition ref="D7:D40"/>
  </sortState>
  <pageMargins left="0.7" right="0.7" top="0.75" bottom="0.75" header="0.3" footer="0.3"/>
  <pageSetup orientation="portrait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3:H41"/>
  <sheetViews>
    <sheetView workbookViewId="0"/>
  </sheetViews>
  <sheetFormatPr defaultRowHeight="14.25" x14ac:dyDescent="0.45"/>
  <cols>
    <col min="2" max="2" width="17.3984375" bestFit="1" customWidth="1"/>
    <col min="3" max="3" width="11.86328125" bestFit="1" customWidth="1"/>
    <col min="4" max="4" width="6.1328125" bestFit="1" customWidth="1"/>
    <col min="5" max="5" width="10.59765625" bestFit="1" customWidth="1"/>
    <col min="6" max="6" width="9.73046875" bestFit="1" customWidth="1"/>
    <col min="7" max="7" width="14.1328125" customWidth="1"/>
    <col min="8" max="8" width="10" bestFit="1" customWidth="1"/>
  </cols>
  <sheetData>
    <row r="3" spans="2:8" x14ac:dyDescent="0.45">
      <c r="B3" t="s">
        <v>0</v>
      </c>
      <c r="C3" s="1">
        <f>'County Data'!C5</f>
        <v>17000000</v>
      </c>
    </row>
    <row r="4" spans="2:8" x14ac:dyDescent="0.45">
      <c r="B4" t="s">
        <v>41</v>
      </c>
      <c r="C4" s="14">
        <f>'County Data'!J9</f>
        <v>1158333.3333333333</v>
      </c>
      <c r="D4" s="9"/>
    </row>
    <row r="6" spans="2:8" s="2" customFormat="1" ht="28.5" x14ac:dyDescent="0.45">
      <c r="B6" s="3" t="s">
        <v>7</v>
      </c>
      <c r="C6" s="3" t="s">
        <v>1</v>
      </c>
      <c r="D6" s="3" t="s">
        <v>14</v>
      </c>
      <c r="E6" s="3" t="s">
        <v>33</v>
      </c>
      <c r="F6" s="3" t="s">
        <v>34</v>
      </c>
      <c r="G6" s="13" t="s">
        <v>13</v>
      </c>
      <c r="H6" s="3" t="s">
        <v>6</v>
      </c>
    </row>
    <row r="7" spans="2:8" x14ac:dyDescent="0.45">
      <c r="B7" s="20" t="str">
        <f>+'County Data'!$B$11</f>
        <v>Benton</v>
      </c>
      <c r="C7" s="15">
        <f>VLOOKUP($B7,'County Data'!$B$10:$L$46,2,FALSE)</f>
        <v>94360</v>
      </c>
      <c r="D7" s="29">
        <f>VLOOKUP($B7,'County Data'!$B$10:$L$46,9,FALSE)</f>
        <v>4.5600029431241265E-2</v>
      </c>
      <c r="E7" s="31">
        <f t="shared" ref="E7:E40" si="0">C7*D7</f>
        <v>4302.8187771319253</v>
      </c>
      <c r="F7" s="6">
        <f t="shared" ref="F7:F40" si="1">E7/$E$41</f>
        <v>1.0519475325032057E-2</v>
      </c>
      <c r="G7" s="14">
        <f t="shared" ref="G7:G40" si="2">$C$4*F7</f>
        <v>12185.058918162133</v>
      </c>
      <c r="H7" s="10">
        <f t="shared" ref="H7:H40" si="3">G7/C7</f>
        <v>0.12913373164648295</v>
      </c>
    </row>
    <row r="8" spans="2:8" x14ac:dyDescent="0.45">
      <c r="B8" s="20" t="str">
        <f>+'County Data'!$B$12</f>
        <v>Clackamas</v>
      </c>
      <c r="C8" s="15">
        <f>VLOOKUP($B8,'County Data'!$B$10:$L$46,2,FALSE)</f>
        <v>423420</v>
      </c>
      <c r="D8" s="29">
        <f>VLOOKUP($B8,'County Data'!$B$10:$L$46,9,FALSE)</f>
        <v>6.7258416497069859E-2</v>
      </c>
      <c r="E8" s="31">
        <f t="shared" si="0"/>
        <v>28478.558713189319</v>
      </c>
      <c r="F8" s="6">
        <f t="shared" si="1"/>
        <v>6.9624009560439487E-2</v>
      </c>
      <c r="G8" s="14">
        <f t="shared" si="2"/>
        <v>80647.811074175741</v>
      </c>
      <c r="H8" s="10">
        <f t="shared" si="3"/>
        <v>0.19046764695615639</v>
      </c>
    </row>
    <row r="9" spans="2:8" x14ac:dyDescent="0.45">
      <c r="B9" s="20" t="str">
        <f>+'County Data'!$B$42</f>
        <v>Wallowa</v>
      </c>
      <c r="C9" s="15">
        <f>VLOOKUP($B9,'County Data'!$B$10:$L$46,2,FALSE)</f>
        <v>7150</v>
      </c>
      <c r="D9" s="29">
        <f>VLOOKUP($B9,'County Data'!$B$10:$L$46,9,FALSE)</f>
        <v>7.5023041474654384E-2</v>
      </c>
      <c r="E9" s="31">
        <f t="shared" si="0"/>
        <v>536.41474654377885</v>
      </c>
      <c r="F9" s="6">
        <f t="shared" si="1"/>
        <v>1.3114197884048131E-3</v>
      </c>
      <c r="G9" s="14">
        <f t="shared" si="2"/>
        <v>1519.0612549022417</v>
      </c>
      <c r="H9" s="10">
        <f t="shared" si="3"/>
        <v>0.21245611956674709</v>
      </c>
    </row>
    <row r="10" spans="2:8" x14ac:dyDescent="0.45">
      <c r="B10" s="20" t="str">
        <f>+'County Data'!$B$18</f>
        <v>Deschutes</v>
      </c>
      <c r="C10" s="15">
        <f>VLOOKUP($B10,'County Data'!$B$10:$L$46,2,FALSE)</f>
        <v>193000</v>
      </c>
      <c r="D10" s="29">
        <f>VLOOKUP($B10,'County Data'!$B$10:$L$46,9,FALSE)</f>
        <v>6.4709260039046049E-2</v>
      </c>
      <c r="E10" s="31">
        <f t="shared" si="0"/>
        <v>12488.887187535887</v>
      </c>
      <c r="F10" s="6">
        <f t="shared" si="1"/>
        <v>3.0532668794841213E-2</v>
      </c>
      <c r="G10" s="14">
        <f t="shared" si="2"/>
        <v>35367.008020691072</v>
      </c>
      <c r="H10" s="10">
        <f t="shared" si="3"/>
        <v>0.18324874622119727</v>
      </c>
    </row>
    <row r="11" spans="2:8" x14ac:dyDescent="0.45">
      <c r="B11" s="20" t="str">
        <f>+'County Data'!$B$41</f>
        <v>Union</v>
      </c>
      <c r="C11" s="15">
        <f>VLOOKUP($B11,'County Data'!$B$10:$L$46,2,FALSE)</f>
        <v>26840</v>
      </c>
      <c r="D11" s="29">
        <f>VLOOKUP($B11,'County Data'!$B$10:$L$46,9,FALSE)</f>
        <v>7.6918634867471275E-2</v>
      </c>
      <c r="E11" s="31">
        <f t="shared" si="0"/>
        <v>2064.496159842929</v>
      </c>
      <c r="F11" s="6">
        <f t="shared" si="1"/>
        <v>5.047253332515907E-3</v>
      </c>
      <c r="G11" s="14">
        <f t="shared" si="2"/>
        <v>5846.401776830925</v>
      </c>
      <c r="H11" s="10">
        <f t="shared" si="3"/>
        <v>0.21782420927089885</v>
      </c>
    </row>
    <row r="12" spans="2:8" x14ac:dyDescent="0.45">
      <c r="B12" s="20" t="str">
        <f>+'County Data'!$B$13</f>
        <v>Clatsop</v>
      </c>
      <c r="C12" s="15">
        <f>VLOOKUP($B12,'County Data'!$B$10:$L$46,2,FALSE)</f>
        <v>39330</v>
      </c>
      <c r="D12" s="29">
        <f>VLOOKUP($B12,'County Data'!$B$10:$L$46,9,FALSE)</f>
        <v>8.4374440665831399E-2</v>
      </c>
      <c r="E12" s="31">
        <f t="shared" si="0"/>
        <v>3318.4467513871491</v>
      </c>
      <c r="F12" s="6">
        <f t="shared" si="1"/>
        <v>8.1128954126946269E-3</v>
      </c>
      <c r="G12" s="14">
        <f t="shared" si="2"/>
        <v>9397.4371863712749</v>
      </c>
      <c r="H12" s="10">
        <f t="shared" si="3"/>
        <v>0.23893814356397852</v>
      </c>
    </row>
    <row r="13" spans="2:8" x14ac:dyDescent="0.45">
      <c r="B13" s="20" t="str">
        <f>'County Data'!$B$45</f>
        <v>Wheeler</v>
      </c>
      <c r="C13" s="15">
        <f>VLOOKUP($B13,'County Data'!$B$10:$L$46,2,FALSE)</f>
        <v>1440</v>
      </c>
      <c r="D13" s="29">
        <f>VLOOKUP($B13,'County Data'!$B$10:$L$46,9,FALSE)</f>
        <v>7.9234972677595633E-2</v>
      </c>
      <c r="E13" s="31">
        <f t="shared" si="0"/>
        <v>114.09836065573771</v>
      </c>
      <c r="F13" s="6">
        <f t="shared" si="1"/>
        <v>2.7894618660762651E-4</v>
      </c>
      <c r="G13" s="14">
        <f t="shared" si="2"/>
        <v>323.11266615383403</v>
      </c>
      <c r="H13" s="10">
        <f t="shared" si="3"/>
        <v>0.22438379594016253</v>
      </c>
    </row>
    <row r="14" spans="2:8" x14ac:dyDescent="0.45">
      <c r="B14" s="20" t="str">
        <f>+'County Data'!$B$29</f>
        <v>Lane</v>
      </c>
      <c r="C14" s="15">
        <f>VLOOKUP($B14,'County Data'!$B$10:$L$46,2,FALSE)</f>
        <v>378880</v>
      </c>
      <c r="D14" s="29">
        <f>VLOOKUP($B14,'County Data'!$B$10:$L$46,9,FALSE)</f>
        <v>8.6174325107355759E-2</v>
      </c>
      <c r="E14" s="31">
        <f t="shared" si="0"/>
        <v>32649.728296674952</v>
      </c>
      <c r="F14" s="6">
        <f t="shared" si="1"/>
        <v>7.9821630650874748E-2</v>
      </c>
      <c r="G14" s="14">
        <f t="shared" si="2"/>
        <v>92460.055503929907</v>
      </c>
      <c r="H14" s="10">
        <f t="shared" si="3"/>
        <v>0.2440351971704231</v>
      </c>
    </row>
    <row r="15" spans="2:8" x14ac:dyDescent="0.45">
      <c r="B15" s="20" t="str">
        <f>+'County Data'!$B$37</f>
        <v>Polk</v>
      </c>
      <c r="C15" s="15">
        <f>VLOOKUP($B15,'County Data'!$B$10:$L$46,2,FALSE)</f>
        <v>82940</v>
      </c>
      <c r="D15" s="29">
        <f>VLOOKUP($B15,'County Data'!$B$10:$L$46,9,FALSE)</f>
        <v>9.566050387968196E-2</v>
      </c>
      <c r="E15" s="31">
        <f t="shared" si="0"/>
        <v>7934.0821917808216</v>
      </c>
      <c r="F15" s="6">
        <f t="shared" si="1"/>
        <v>1.9397140843297859E-2</v>
      </c>
      <c r="G15" s="14">
        <f t="shared" si="2"/>
        <v>22468.354810153352</v>
      </c>
      <c r="H15" s="10">
        <f t="shared" si="3"/>
        <v>0.27089890053235294</v>
      </c>
    </row>
    <row r="16" spans="2:8" x14ac:dyDescent="0.45">
      <c r="B16" s="20" t="str">
        <f>+'County Data'!$B$44</f>
        <v>Washington</v>
      </c>
      <c r="C16" s="15">
        <f>VLOOKUP($B16,'County Data'!$B$10:$L$46,2,FALSE)</f>
        <v>613410</v>
      </c>
      <c r="D16" s="29">
        <f>VLOOKUP($B16,'County Data'!$B$10:$L$46,9,FALSE)</f>
        <v>8.3950044504063362E-2</v>
      </c>
      <c r="E16" s="31">
        <f t="shared" si="0"/>
        <v>51495.796799237505</v>
      </c>
      <c r="F16" s="6">
        <f t="shared" si="1"/>
        <v>0.12589625355626144</v>
      </c>
      <c r="G16" s="14">
        <f t="shared" si="2"/>
        <v>145829.82703600283</v>
      </c>
      <c r="H16" s="10">
        <f t="shared" si="3"/>
        <v>0.23773630530314607</v>
      </c>
    </row>
    <row r="17" spans="2:8" x14ac:dyDescent="0.45">
      <c r="B17" s="20" t="str">
        <f>+'County Data'!$B$35</f>
        <v>Multnomah</v>
      </c>
      <c r="C17" s="15">
        <f>VLOOKUP($B17,'County Data'!$B$10:$L$46,2,FALSE)</f>
        <v>821730</v>
      </c>
      <c r="D17" s="29">
        <f>VLOOKUP($B17,'County Data'!$B$10:$L$46,9,FALSE)</f>
        <v>8.7056662281201555E-2</v>
      </c>
      <c r="E17" s="31">
        <f t="shared" si="0"/>
        <v>71537.071096331754</v>
      </c>
      <c r="F17" s="6">
        <f t="shared" si="1"/>
        <v>0.17489290002692878</v>
      </c>
      <c r="G17" s="14">
        <f t="shared" si="2"/>
        <v>202584.27586452581</v>
      </c>
      <c r="H17" s="10">
        <f t="shared" si="3"/>
        <v>0.24653386862415369</v>
      </c>
    </row>
    <row r="18" spans="2:8" x14ac:dyDescent="0.45">
      <c r="B18" s="20" t="str">
        <f>+'County Data'!$B$10</f>
        <v>Baker</v>
      </c>
      <c r="C18" s="15">
        <f>VLOOKUP($B18,'County Data'!$B$10:$L$46,2,FALSE)</f>
        <v>16820</v>
      </c>
      <c r="D18" s="29">
        <f>VLOOKUP($B18,'County Data'!$B$10:$L$46,9,FALSE)</f>
        <v>0.10388846896783405</v>
      </c>
      <c r="E18" s="31">
        <f t="shared" si="0"/>
        <v>1747.4040480389688</v>
      </c>
      <c r="F18" s="6">
        <f t="shared" si="1"/>
        <v>4.2720306660136787E-3</v>
      </c>
      <c r="G18" s="14">
        <f t="shared" si="2"/>
        <v>4948.4355214658444</v>
      </c>
      <c r="H18" s="10">
        <f t="shared" si="3"/>
        <v>0.29419949592543665</v>
      </c>
    </row>
    <row r="19" spans="2:8" x14ac:dyDescent="0.45">
      <c r="B19" s="20" t="str">
        <f>+'County Data'!$B$14</f>
        <v>Columbia</v>
      </c>
      <c r="C19" s="15">
        <f>VLOOKUP($B19,'County Data'!$B$10:$L$46,2,FALSE)</f>
        <v>52750</v>
      </c>
      <c r="D19" s="29">
        <f>VLOOKUP($B19,'County Data'!$B$10:$L$46,9,FALSE)</f>
        <v>9.5876003321339609E-2</v>
      </c>
      <c r="E19" s="31">
        <f t="shared" si="0"/>
        <v>5057.4591752006645</v>
      </c>
      <c r="F19" s="6">
        <f t="shared" si="1"/>
        <v>1.2364410345058134E-2</v>
      </c>
      <c r="G19" s="14">
        <f t="shared" si="2"/>
        <v>14322.108649692338</v>
      </c>
      <c r="H19" s="10">
        <f t="shared" si="3"/>
        <v>0.27150916871454667</v>
      </c>
    </row>
    <row r="20" spans="2:8" x14ac:dyDescent="0.45">
      <c r="B20" s="20" t="str">
        <f>+'County Data'!$B$39</f>
        <v>Tillamook</v>
      </c>
      <c r="C20" s="15">
        <f>VLOOKUP($B20,'County Data'!$B$10:$L$46,2,FALSE)</f>
        <v>26500</v>
      </c>
      <c r="D20" s="29">
        <f>VLOOKUP($B20,'County Data'!$B$10:$L$46,9,FALSE)</f>
        <v>9.6828904764352158E-2</v>
      </c>
      <c r="E20" s="31">
        <f t="shared" si="0"/>
        <v>2565.9659762553324</v>
      </c>
      <c r="F20" s="6">
        <f t="shared" si="1"/>
        <v>6.2732402107071499E-3</v>
      </c>
      <c r="G20" s="14">
        <f t="shared" si="2"/>
        <v>7266.5032440691148</v>
      </c>
      <c r="H20" s="10">
        <f t="shared" si="3"/>
        <v>0.27420766958751375</v>
      </c>
    </row>
    <row r="21" spans="2:8" x14ac:dyDescent="0.45">
      <c r="B21" s="20" t="str">
        <f>+'County Data'!$B$17</f>
        <v>Curry</v>
      </c>
      <c r="C21" s="15">
        <f>VLOOKUP($B21,'County Data'!$B$10:$L$46,2,FALSE)</f>
        <v>23000</v>
      </c>
      <c r="D21" s="29">
        <f>VLOOKUP($B21,'County Data'!$B$10:$L$46,9,FALSE)</f>
        <v>0.10947055258663435</v>
      </c>
      <c r="E21" s="31">
        <f t="shared" si="0"/>
        <v>2517.8227094925901</v>
      </c>
      <c r="F21" s="6">
        <f t="shared" si="1"/>
        <v>6.1555401789352617E-3</v>
      </c>
      <c r="G21" s="14">
        <f t="shared" si="2"/>
        <v>7130.1673739333446</v>
      </c>
      <c r="H21" s="10">
        <f t="shared" si="3"/>
        <v>0.31000727712753673</v>
      </c>
    </row>
    <row r="22" spans="2:8" x14ac:dyDescent="0.45">
      <c r="B22" s="20" t="str">
        <f>+'County Data'!$B$31</f>
        <v>Linn</v>
      </c>
      <c r="C22" s="15">
        <f>VLOOKUP($B22,'County Data'!$B$10:$L$46,2,FALSE)</f>
        <v>126550</v>
      </c>
      <c r="D22" s="29">
        <f>VLOOKUP($B22,'County Data'!$B$10:$L$46,9,FALSE)</f>
        <v>0.10089543820066277</v>
      </c>
      <c r="E22" s="31">
        <f t="shared" si="0"/>
        <v>12768.317704293873</v>
      </c>
      <c r="F22" s="6">
        <f t="shared" si="1"/>
        <v>3.1215816884116752E-2</v>
      </c>
      <c r="G22" s="14">
        <f t="shared" si="2"/>
        <v>36158.321224101899</v>
      </c>
      <c r="H22" s="10">
        <f t="shared" si="3"/>
        <v>0.28572359718768786</v>
      </c>
    </row>
    <row r="23" spans="2:8" x14ac:dyDescent="0.45">
      <c r="B23" s="20" t="str">
        <f>+'County Data'!$B$21</f>
        <v>Grant</v>
      </c>
      <c r="C23" s="15">
        <f>VLOOKUP($B23,'County Data'!$B$10:$L$46,2,FALSE)</f>
        <v>7360</v>
      </c>
      <c r="D23" s="29">
        <f>VLOOKUP($B23,'County Data'!$B$10:$L$46,9,FALSE)</f>
        <v>0.11228389444949954</v>
      </c>
      <c r="E23" s="31">
        <f t="shared" si="0"/>
        <v>826.4094631483166</v>
      </c>
      <c r="F23" s="6">
        <f t="shared" si="1"/>
        <v>2.0203950959227592E-3</v>
      </c>
      <c r="G23" s="14">
        <f t="shared" si="2"/>
        <v>2340.2909861105295</v>
      </c>
      <c r="H23" s="10">
        <f t="shared" si="3"/>
        <v>0.31797431876501758</v>
      </c>
    </row>
    <row r="24" spans="2:8" x14ac:dyDescent="0.45">
      <c r="B24" s="20" t="str">
        <f>+'County Data'!$B$22</f>
        <v>Harney</v>
      </c>
      <c r="C24" s="15">
        <f>VLOOKUP($B24,'County Data'!$B$10:$L$46,2,FALSE)</f>
        <v>7360</v>
      </c>
      <c r="D24" s="29">
        <f>VLOOKUP($B24,'County Data'!$B$10:$L$46,9,FALSE)</f>
        <v>0.1021883920076118</v>
      </c>
      <c r="E24" s="31">
        <f t="shared" si="0"/>
        <v>752.10656517602285</v>
      </c>
      <c r="F24" s="6">
        <f t="shared" si="1"/>
        <v>1.8387403383596441E-3</v>
      </c>
      <c r="G24" s="14">
        <f t="shared" si="2"/>
        <v>2129.8742252665875</v>
      </c>
      <c r="H24" s="10">
        <f t="shared" si="3"/>
        <v>0.28938508495469939</v>
      </c>
    </row>
    <row r="25" spans="2:8" x14ac:dyDescent="0.45">
      <c r="B25" s="20" t="str">
        <f>+'County Data'!$B$30</f>
        <v>Lincoln</v>
      </c>
      <c r="C25" s="15">
        <f>VLOOKUP($B25,'County Data'!$B$10:$L$46,2,FALSE)</f>
        <v>48260</v>
      </c>
      <c r="D25" s="29">
        <f>VLOOKUP($B25,'County Data'!$B$10:$L$46,9,FALSE)</f>
        <v>9.4152142042677966E-2</v>
      </c>
      <c r="E25" s="31">
        <f t="shared" si="0"/>
        <v>4543.7823749796389</v>
      </c>
      <c r="F25" s="6">
        <f t="shared" si="1"/>
        <v>1.1108579991782528E-2</v>
      </c>
      <c r="G25" s="14">
        <f t="shared" si="2"/>
        <v>12867.438490481427</v>
      </c>
      <c r="H25" s="10">
        <f t="shared" si="3"/>
        <v>0.26662740344967734</v>
      </c>
    </row>
    <row r="26" spans="2:8" x14ac:dyDescent="0.45">
      <c r="B26" s="20" t="str">
        <f>+'County Data'!$B$19</f>
        <v>Douglas</v>
      </c>
      <c r="C26" s="15">
        <f>VLOOKUP($B26,'County Data'!$B$10:$L$46,2,FALSE)</f>
        <v>112250</v>
      </c>
      <c r="D26" s="29">
        <f>VLOOKUP($B26,'County Data'!$B$10:$L$46,9,FALSE)</f>
        <v>0.10892266853651207</v>
      </c>
      <c r="E26" s="31">
        <f t="shared" si="0"/>
        <v>12226.569543223481</v>
      </c>
      <c r="F26" s="6">
        <f t="shared" si="1"/>
        <v>2.9891358033316596E-2</v>
      </c>
      <c r="G26" s="14">
        <f t="shared" si="2"/>
        <v>34624.15638859172</v>
      </c>
      <c r="H26" s="10">
        <f t="shared" si="3"/>
        <v>0.30845573620126254</v>
      </c>
    </row>
    <row r="27" spans="2:8" x14ac:dyDescent="0.45">
      <c r="B27" s="20" t="str">
        <f>+'County Data'!$B$24</f>
        <v>Jackson</v>
      </c>
      <c r="C27" s="15">
        <f>VLOOKUP($B27,'County Data'!$B$10:$L$46,2,FALSE)</f>
        <v>221290</v>
      </c>
      <c r="D27" s="29">
        <f>VLOOKUP($B27,'County Data'!$B$10:$L$46,9,FALSE)</f>
        <v>0.10373965023348289</v>
      </c>
      <c r="E27" s="31">
        <f t="shared" si="0"/>
        <v>22956.547200167428</v>
      </c>
      <c r="F27" s="6">
        <f t="shared" si="1"/>
        <v>5.6123867708196266E-2</v>
      </c>
      <c r="G27" s="14">
        <f t="shared" si="2"/>
        <v>65010.146761994001</v>
      </c>
      <c r="H27" s="10">
        <f t="shared" si="3"/>
        <v>0.29377805938810614</v>
      </c>
    </row>
    <row r="28" spans="2:8" x14ac:dyDescent="0.45">
      <c r="B28" s="20" t="str">
        <f>+'County Data'!$B$15</f>
        <v>Coos</v>
      </c>
      <c r="C28" s="15">
        <f>VLOOKUP($B28,'County Data'!$B$10:$L$46,2,FALSE)</f>
        <v>63290</v>
      </c>
      <c r="D28" s="29">
        <f>VLOOKUP($B28,'County Data'!$B$10:$L$46,9,FALSE)</f>
        <v>0.11153339844579388</v>
      </c>
      <c r="E28" s="31">
        <f t="shared" si="0"/>
        <v>7058.9487876342946</v>
      </c>
      <c r="F28" s="6">
        <f t="shared" si="1"/>
        <v>1.7257626090792528E-2</v>
      </c>
      <c r="G28" s="14">
        <f t="shared" si="2"/>
        <v>19990.08355516801</v>
      </c>
      <c r="H28" s="10">
        <f t="shared" si="3"/>
        <v>0.31584900545375272</v>
      </c>
    </row>
    <row r="29" spans="2:8" x14ac:dyDescent="0.45">
      <c r="B29" s="20" t="str">
        <f>+'County Data'!$B$26</f>
        <v>Josephine</v>
      </c>
      <c r="C29" s="15">
        <f>VLOOKUP($B29,'County Data'!$B$10:$L$46,2,FALSE)</f>
        <v>86750</v>
      </c>
      <c r="D29" s="29">
        <f>VLOOKUP($B29,'County Data'!$B$10:$L$46,9,FALSE)</f>
        <v>9.7927181538266198E-2</v>
      </c>
      <c r="E29" s="31">
        <f t="shared" si="0"/>
        <v>8495.1829984445922</v>
      </c>
      <c r="F29" s="6">
        <f t="shared" si="1"/>
        <v>2.0768912790079558E-2</v>
      </c>
      <c r="G29" s="14">
        <f t="shared" si="2"/>
        <v>24057.323981842153</v>
      </c>
      <c r="H29" s="10">
        <f t="shared" si="3"/>
        <v>0.27731785569846862</v>
      </c>
    </row>
    <row r="30" spans="2:8" x14ac:dyDescent="0.45">
      <c r="B30" s="20" t="str">
        <f>+'County Data'!$B$46</f>
        <v>Yamhill</v>
      </c>
      <c r="C30" s="15">
        <f>VLOOKUP($B30,'County Data'!$B$10:$L$46,2,FALSE)</f>
        <v>108060</v>
      </c>
      <c r="D30" s="29">
        <f>VLOOKUP($B30,'County Data'!$B$10:$L$46,9,FALSE)</f>
        <v>0.11749373577949944</v>
      </c>
      <c r="E30" s="31">
        <f t="shared" si="0"/>
        <v>12696.37308833271</v>
      </c>
      <c r="F30" s="6">
        <f t="shared" si="1"/>
        <v>3.1039927623710384E-2</v>
      </c>
      <c r="G30" s="14">
        <f t="shared" si="2"/>
        <v>35954.582830797859</v>
      </c>
      <c r="H30" s="10">
        <f t="shared" si="3"/>
        <v>0.33272795512491077</v>
      </c>
    </row>
    <row r="31" spans="2:8" x14ac:dyDescent="0.45">
      <c r="B31" s="20" t="str">
        <f>+'County Data'!$B$27</f>
        <v>Klamath</v>
      </c>
      <c r="C31" s="15">
        <f>VLOOKUP($B31,'County Data'!$B$10:$L$46,2,FALSE)</f>
        <v>68190</v>
      </c>
      <c r="D31" s="29">
        <f>VLOOKUP($B31,'County Data'!$B$10:$L$46,9,FALSE)</f>
        <v>0.12596828136800087</v>
      </c>
      <c r="E31" s="31">
        <f t="shared" si="0"/>
        <v>8589.7771064839799</v>
      </c>
      <c r="F31" s="6">
        <f t="shared" si="1"/>
        <v>2.1000175233829754E-2</v>
      </c>
      <c r="G31" s="14">
        <f t="shared" si="2"/>
        <v>24325.202979186128</v>
      </c>
      <c r="H31" s="10">
        <f t="shared" si="3"/>
        <v>0.35672683647435294</v>
      </c>
    </row>
    <row r="32" spans="2:8" x14ac:dyDescent="0.45">
      <c r="B32" s="20" t="str">
        <f>+'County Data'!$B$16</f>
        <v>Crook</v>
      </c>
      <c r="C32" s="15">
        <f>VLOOKUP($B32,'County Data'!$B$10:$L$46,2,FALSE)</f>
        <v>23440</v>
      </c>
      <c r="D32" s="29">
        <f>VLOOKUP($B32,'County Data'!$B$10:$L$46,9,FALSE)</f>
        <v>0.12438408845090734</v>
      </c>
      <c r="E32" s="31">
        <f t="shared" si="0"/>
        <v>2915.5630332892683</v>
      </c>
      <c r="F32" s="6">
        <f t="shared" si="1"/>
        <v>7.1279305441038143E-3</v>
      </c>
      <c r="G32" s="14">
        <f t="shared" si="2"/>
        <v>8256.5195469202517</v>
      </c>
      <c r="H32" s="10">
        <f t="shared" si="3"/>
        <v>0.35224059500513022</v>
      </c>
    </row>
    <row r="33" spans="2:8" x14ac:dyDescent="0.45">
      <c r="B33" s="20" t="str">
        <f>+'County Data'!$B$36</f>
        <v>Gilliam, Sherman, Wasco</v>
      </c>
      <c r="C33" s="15">
        <f>VLOOKUP($B33,'County Data'!$B$10:$L$46,2,FALSE)</f>
        <v>31000</v>
      </c>
      <c r="D33" s="29">
        <f>VLOOKUP($B33,'County Data'!$B$10:$L$46,9,FALSE)</f>
        <v>0.13515598630599354</v>
      </c>
      <c r="E33" s="31">
        <f t="shared" si="0"/>
        <v>4189.8355754857994</v>
      </c>
      <c r="F33" s="6">
        <f t="shared" si="1"/>
        <v>1.0243255464652122E-2</v>
      </c>
      <c r="G33" s="14">
        <f t="shared" si="2"/>
        <v>11865.104246555375</v>
      </c>
      <c r="H33" s="10">
        <f t="shared" si="3"/>
        <v>0.38274529827597981</v>
      </c>
    </row>
    <row r="34" spans="2:8" x14ac:dyDescent="0.45">
      <c r="B34" s="20" t="str">
        <f>+'County Data'!$B$33</f>
        <v>Marion</v>
      </c>
      <c r="C34" s="15">
        <f>VLOOKUP($B34,'County Data'!$B$10:$L$46,2,FALSE)</f>
        <v>347760</v>
      </c>
      <c r="D34" s="29">
        <f>VLOOKUP($B34,'County Data'!$B$10:$L$46,9,FALSE)</f>
        <v>0.14741470645743621</v>
      </c>
      <c r="E34" s="31">
        <f t="shared" si="0"/>
        <v>51264.938317638014</v>
      </c>
      <c r="F34" s="6">
        <f t="shared" si="1"/>
        <v>0.1253318537461493</v>
      </c>
      <c r="G34" s="14">
        <f t="shared" si="2"/>
        <v>145176.06392262294</v>
      </c>
      <c r="H34" s="10">
        <f t="shared" si="3"/>
        <v>0.41746050127278278</v>
      </c>
    </row>
    <row r="35" spans="2:8" x14ac:dyDescent="0.45">
      <c r="B35" s="20" t="str">
        <f>+'County Data'!$B$28</f>
        <v>Lake</v>
      </c>
      <c r="C35" s="15">
        <f>VLOOKUP($B35,'County Data'!$B$10:$L$46,2,FALSE)</f>
        <v>8080</v>
      </c>
      <c r="D35" s="29">
        <f>VLOOKUP($B35,'County Data'!$B$10:$L$46,9,FALSE)</f>
        <v>0.13104736038024103</v>
      </c>
      <c r="E35" s="31">
        <f t="shared" si="0"/>
        <v>1058.8626718723476</v>
      </c>
      <c r="F35" s="6">
        <f t="shared" si="1"/>
        <v>2.5886936741461473E-3</v>
      </c>
      <c r="G35" s="14">
        <f t="shared" si="2"/>
        <v>2998.5701725526205</v>
      </c>
      <c r="H35" s="10">
        <f t="shared" si="3"/>
        <v>0.37111016987037382</v>
      </c>
    </row>
    <row r="36" spans="2:8" x14ac:dyDescent="0.45">
      <c r="B36" s="20" t="str">
        <f>+'County Data'!$B$25</f>
        <v>Jefferson</v>
      </c>
      <c r="C36" s="15">
        <f>VLOOKUP($B36,'County Data'!$B$10:$L$46,2,FALSE)</f>
        <v>23840</v>
      </c>
      <c r="D36" s="29">
        <f>VLOOKUP($B36,'County Data'!$B$10:$L$46,9,FALSE)</f>
        <v>0.14004805260495701</v>
      </c>
      <c r="E36" s="31">
        <f t="shared" si="0"/>
        <v>3338.7455741021749</v>
      </c>
      <c r="F36" s="6">
        <f t="shared" si="1"/>
        <v>8.1625217101842576E-3</v>
      </c>
      <c r="G36" s="14">
        <f t="shared" si="2"/>
        <v>9454.9209809634303</v>
      </c>
      <c r="H36" s="10">
        <f t="shared" si="3"/>
        <v>0.3965990344363855</v>
      </c>
    </row>
    <row r="37" spans="2:8" x14ac:dyDescent="0.45">
      <c r="B37" s="20" t="str">
        <f>+'County Data'!$B$40</f>
        <v>Umatilla</v>
      </c>
      <c r="C37" s="15">
        <f>VLOOKUP($B37,'County Data'!$B$10:$L$46,2,FALSE)</f>
        <v>81160</v>
      </c>
      <c r="D37" s="29">
        <f>VLOOKUP($B37,'County Data'!$B$10:$L$46,9,FALSE)</f>
        <v>0.1782276866667995</v>
      </c>
      <c r="E37" s="31">
        <f t="shared" si="0"/>
        <v>14464.959049877447</v>
      </c>
      <c r="F37" s="6">
        <f t="shared" si="1"/>
        <v>3.5363743556081344E-2</v>
      </c>
      <c r="G37" s="14">
        <f t="shared" si="2"/>
        <v>40963.002952460884</v>
      </c>
      <c r="H37" s="10">
        <f t="shared" si="3"/>
        <v>0.50471910981346579</v>
      </c>
    </row>
    <row r="38" spans="2:8" x14ac:dyDescent="0.45">
      <c r="B38" s="20" t="str">
        <f>+'County Data'!$B$23</f>
        <v>Hood River</v>
      </c>
      <c r="C38" s="15">
        <f>VLOOKUP($B38,'County Data'!$B$10:$L$46,2,FALSE)</f>
        <v>25480</v>
      </c>
      <c r="D38" s="29">
        <f>VLOOKUP($B38,'County Data'!$B$10:$L$46,9,FALSE)</f>
        <v>0.18945337620578778</v>
      </c>
      <c r="E38" s="31">
        <f t="shared" si="0"/>
        <v>4827.2720257234723</v>
      </c>
      <c r="F38" s="6">
        <f t="shared" si="1"/>
        <v>1.1801651798978064E-2</v>
      </c>
      <c r="G38" s="14">
        <f t="shared" si="2"/>
        <v>13670.246667149589</v>
      </c>
      <c r="H38" s="10">
        <f t="shared" si="3"/>
        <v>0.53650889588499173</v>
      </c>
    </row>
    <row r="39" spans="2:8" x14ac:dyDescent="0.45">
      <c r="B39" s="20" t="str">
        <f>+'County Data'!$B$32</f>
        <v>Malheur</v>
      </c>
      <c r="C39" s="15">
        <f>VLOOKUP($B39,'County Data'!$B$10:$L$46,2,FALSE)</f>
        <v>32030</v>
      </c>
      <c r="D39" s="29">
        <f>VLOOKUP($B39,'County Data'!$B$10:$L$46,9,FALSE)</f>
        <v>0.1910630959626699</v>
      </c>
      <c r="E39" s="31">
        <f t="shared" si="0"/>
        <v>6119.750963684317</v>
      </c>
      <c r="F39" s="6">
        <f t="shared" si="1"/>
        <v>1.4961487478849617E-2</v>
      </c>
      <c r="G39" s="14">
        <f t="shared" si="2"/>
        <v>17330.389663000806</v>
      </c>
      <c r="H39" s="10">
        <f t="shared" si="3"/>
        <v>0.5410674262566596</v>
      </c>
    </row>
    <row r="40" spans="2:8" x14ac:dyDescent="0.45">
      <c r="B40" s="20" t="str">
        <f>+'County Data'!$B$34</f>
        <v>Morrow</v>
      </c>
      <c r="C40" s="15">
        <f>VLOOKUP($B40,'County Data'!$B$10:$L$46,2,FALSE)</f>
        <v>12680</v>
      </c>
      <c r="D40" s="29">
        <f>VLOOKUP($B40,'County Data'!$B$10:$L$46,9,FALSE)</f>
        <v>0.24689265536723165</v>
      </c>
      <c r="E40" s="31">
        <f t="shared" si="0"/>
        <v>3130.5988700564972</v>
      </c>
      <c r="F40" s="6">
        <f t="shared" si="1"/>
        <v>7.6536473581357272E-3</v>
      </c>
      <c r="G40" s="14">
        <f t="shared" si="2"/>
        <v>8865.4748565072168</v>
      </c>
      <c r="H40" s="10">
        <f t="shared" si="3"/>
        <v>0.6991699413649225</v>
      </c>
    </row>
    <row r="41" spans="2:8" x14ac:dyDescent="0.45">
      <c r="B41" s="4" t="s">
        <v>2</v>
      </c>
      <c r="C41" s="5">
        <f>SUM(C6:C40)</f>
        <v>4236400</v>
      </c>
      <c r="D41" s="5"/>
      <c r="E41" s="5">
        <f>SUM(E6:E40)</f>
        <v>409033.591902913</v>
      </c>
      <c r="F41" s="8">
        <f>SUM(F6:F40)</f>
        <v>0.99999999999999967</v>
      </c>
      <c r="G41" s="11">
        <f>SUM(G6:G40)</f>
        <v>1158333.3333333335</v>
      </c>
      <c r="H41" s="12">
        <f>G41/C41</f>
        <v>0.27342397633210591</v>
      </c>
    </row>
  </sheetData>
  <sortState xmlns:xlrd2="http://schemas.microsoft.com/office/spreadsheetml/2017/richdata2" ref="B7:H40">
    <sortCondition ref="D7:D40"/>
  </sortState>
  <pageMargins left="0.7" right="0.7" top="0.75" bottom="0.75" header="0.3" footer="0.3"/>
  <pageSetup orientation="portrait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3:J41"/>
  <sheetViews>
    <sheetView workbookViewId="0"/>
  </sheetViews>
  <sheetFormatPr defaultRowHeight="14.25" x14ac:dyDescent="0.45"/>
  <cols>
    <col min="2" max="2" width="17.3984375" bestFit="1" customWidth="1"/>
    <col min="3" max="3" width="11.86328125" bestFit="1" customWidth="1"/>
    <col min="4" max="4" width="6.1328125" bestFit="1" customWidth="1"/>
    <col min="5" max="5" width="10.59765625" bestFit="1" customWidth="1"/>
    <col min="6" max="6" width="9.73046875" bestFit="1" customWidth="1"/>
    <col min="7" max="7" width="14.1328125" customWidth="1"/>
    <col min="8" max="8" width="10" bestFit="1" customWidth="1"/>
    <col min="10" max="10" width="10.59765625" bestFit="1" customWidth="1"/>
  </cols>
  <sheetData>
    <row r="3" spans="2:10" x14ac:dyDescent="0.45">
      <c r="B3" t="s">
        <v>0</v>
      </c>
      <c r="C3" s="1">
        <f>'County Data'!C5</f>
        <v>17000000</v>
      </c>
    </row>
    <row r="4" spans="2:10" x14ac:dyDescent="0.45">
      <c r="B4" t="s">
        <v>41</v>
      </c>
      <c r="C4" s="14">
        <f>'County Data'!K9</f>
        <v>2316666.6666666665</v>
      </c>
      <c r="D4" s="9"/>
    </row>
    <row r="6" spans="2:10" s="2" customFormat="1" ht="28.5" x14ac:dyDescent="0.45">
      <c r="B6" s="3" t="s">
        <v>7</v>
      </c>
      <c r="C6" s="3" t="s">
        <v>1</v>
      </c>
      <c r="D6" s="3" t="s">
        <v>14</v>
      </c>
      <c r="E6" s="3" t="s">
        <v>33</v>
      </c>
      <c r="F6" s="3" t="s">
        <v>34</v>
      </c>
      <c r="G6" s="13" t="s">
        <v>13</v>
      </c>
      <c r="H6" s="3" t="s">
        <v>6</v>
      </c>
    </row>
    <row r="7" spans="2:10" x14ac:dyDescent="0.45">
      <c r="B7" s="20" t="str">
        <f>'County Data'!$B$45</f>
        <v>Wheeler</v>
      </c>
      <c r="C7" s="15">
        <f>VLOOKUP($B7,'County Data'!$B$10:$L$46,2,FALSE)</f>
        <v>1440</v>
      </c>
      <c r="D7" s="29">
        <f>VLOOKUP($B7,'County Data'!$B$10:$L$46,10,FALSE)</f>
        <v>7.3637702503681884E-4</v>
      </c>
      <c r="E7" s="31">
        <f t="shared" ref="E7:E40" si="0">C7*D7</f>
        <v>1.0603829160530192</v>
      </c>
      <c r="F7" s="6">
        <f t="shared" ref="F7:F40" si="1">E7/$E$41</f>
        <v>4.2714678659911915E-6</v>
      </c>
      <c r="G7" s="14">
        <f t="shared" ref="G7:G40" si="2">$C$4*F7</f>
        <v>9.8955672228795937</v>
      </c>
      <c r="H7" s="10">
        <f t="shared" ref="H7:H40" si="3">G7/C7</f>
        <v>6.8719216825552732E-3</v>
      </c>
      <c r="J7" s="32"/>
    </row>
    <row r="8" spans="2:10" x14ac:dyDescent="0.45">
      <c r="B8" s="20" t="str">
        <f>+'County Data'!$B$16</f>
        <v>Crook</v>
      </c>
      <c r="C8" s="15">
        <f>VLOOKUP($B8,'County Data'!$B$10:$L$46,2,FALSE)</f>
        <v>23440</v>
      </c>
      <c r="D8" s="29">
        <f>VLOOKUP($B8,'County Data'!$B$10:$L$46,10,FALSE)</f>
        <v>1.2850082372322899E-2</v>
      </c>
      <c r="E8" s="31">
        <f t="shared" si="0"/>
        <v>301.20593080724876</v>
      </c>
      <c r="F8" s="6">
        <f t="shared" si="1"/>
        <v>1.2133272188862762E-3</v>
      </c>
      <c r="G8" s="14">
        <f t="shared" si="2"/>
        <v>2810.8747237532066</v>
      </c>
      <c r="H8" s="10">
        <f t="shared" si="3"/>
        <v>0.1199178636413484</v>
      </c>
      <c r="J8" s="32"/>
    </row>
    <row r="9" spans="2:10" x14ac:dyDescent="0.45">
      <c r="B9" s="20" t="str">
        <f>+'County Data'!$B$42</f>
        <v>Wallowa</v>
      </c>
      <c r="C9" s="15">
        <f>VLOOKUP($B9,'County Data'!$B$10:$L$46,2,FALSE)</f>
        <v>7150</v>
      </c>
      <c r="D9" s="29">
        <f>VLOOKUP($B9,'County Data'!$B$10:$L$46,10,FALSE)</f>
        <v>1.0912397696271597E-2</v>
      </c>
      <c r="E9" s="31">
        <f t="shared" si="0"/>
        <v>78.023643528341921</v>
      </c>
      <c r="F9" s="6">
        <f t="shared" si="1"/>
        <v>3.1429729871487326E-4</v>
      </c>
      <c r="G9" s="14">
        <f t="shared" si="2"/>
        <v>728.12207535612299</v>
      </c>
      <c r="H9" s="10">
        <f t="shared" si="3"/>
        <v>0.10183525529456265</v>
      </c>
      <c r="J9" s="32"/>
    </row>
    <row r="10" spans="2:10" x14ac:dyDescent="0.45">
      <c r="B10" s="20" t="str">
        <f>+'County Data'!$B$21</f>
        <v>Grant</v>
      </c>
      <c r="C10" s="15">
        <f>VLOOKUP($B10,'County Data'!$B$10:$L$46,2,FALSE)</f>
        <v>7360</v>
      </c>
      <c r="D10" s="29">
        <f>VLOOKUP($B10,'County Data'!$B$10:$L$46,10,FALSE)</f>
        <v>6.2718786464410732E-3</v>
      </c>
      <c r="E10" s="31">
        <f t="shared" si="0"/>
        <v>46.161026837806297</v>
      </c>
      <c r="F10" s="6">
        <f t="shared" si="1"/>
        <v>1.8594730244502337E-4</v>
      </c>
      <c r="G10" s="14">
        <f t="shared" si="2"/>
        <v>430.77791733097081</v>
      </c>
      <c r="H10" s="10">
        <f t="shared" si="3"/>
        <v>5.8529608333012337E-2</v>
      </c>
      <c r="J10" s="32"/>
    </row>
    <row r="11" spans="2:10" x14ac:dyDescent="0.45">
      <c r="B11" s="20" t="str">
        <f>+'County Data'!$B$10</f>
        <v>Baker</v>
      </c>
      <c r="C11" s="15">
        <f>VLOOKUP($B11,'County Data'!$B$10:$L$46,2,FALSE)</f>
        <v>16820</v>
      </c>
      <c r="D11" s="29">
        <f>VLOOKUP($B11,'County Data'!$B$10:$L$46,10,FALSE)</f>
        <v>1.370043472533263E-2</v>
      </c>
      <c r="E11" s="31">
        <f t="shared" si="0"/>
        <v>230.44131208009483</v>
      </c>
      <c r="F11" s="6">
        <f t="shared" si="1"/>
        <v>9.2827095254499246E-4</v>
      </c>
      <c r="G11" s="14">
        <f t="shared" si="2"/>
        <v>2150.4943733958989</v>
      </c>
      <c r="H11" s="10">
        <f t="shared" si="3"/>
        <v>0.12785341102234835</v>
      </c>
      <c r="J11" s="32"/>
    </row>
    <row r="12" spans="2:10" x14ac:dyDescent="0.45">
      <c r="B12" s="20" t="str">
        <f>+'County Data'!$B$19</f>
        <v>Douglas</v>
      </c>
      <c r="C12" s="15">
        <f>VLOOKUP($B12,'County Data'!$B$10:$L$46,2,FALSE)</f>
        <v>112250</v>
      </c>
      <c r="D12" s="29">
        <f>VLOOKUP($B12,'County Data'!$B$10:$L$46,10,FALSE)</f>
        <v>1.1854937610714216E-2</v>
      </c>
      <c r="E12" s="31">
        <f t="shared" si="0"/>
        <v>1330.7167468026707</v>
      </c>
      <c r="F12" s="6">
        <f t="shared" si="1"/>
        <v>5.3604351189110817E-3</v>
      </c>
      <c r="G12" s="14">
        <f t="shared" si="2"/>
        <v>12418.341358810672</v>
      </c>
      <c r="H12" s="10">
        <f t="shared" si="3"/>
        <v>0.11063110341924876</v>
      </c>
      <c r="J12" s="32"/>
    </row>
    <row r="13" spans="2:10" x14ac:dyDescent="0.45">
      <c r="B13" s="20" t="str">
        <f>+'County Data'!$B$17</f>
        <v>Curry</v>
      </c>
      <c r="C13" s="15">
        <f>VLOOKUP($B13,'County Data'!$B$10:$L$46,2,FALSE)</f>
        <v>23000</v>
      </c>
      <c r="D13" s="29">
        <f>VLOOKUP($B13,'County Data'!$B$10:$L$46,10,FALSE)</f>
        <v>1.3102458447150332E-2</v>
      </c>
      <c r="E13" s="31">
        <f t="shared" si="0"/>
        <v>301.35654428445764</v>
      </c>
      <c r="F13" s="6">
        <f t="shared" si="1"/>
        <v>1.2139339248397043E-3</v>
      </c>
      <c r="G13" s="14">
        <f t="shared" si="2"/>
        <v>2812.2802592119815</v>
      </c>
      <c r="H13" s="10">
        <f t="shared" si="3"/>
        <v>0.12227305474834702</v>
      </c>
      <c r="J13" s="32"/>
    </row>
    <row r="14" spans="2:10" x14ac:dyDescent="0.45">
      <c r="B14" s="20" t="str">
        <f>+'County Data'!$B$26</f>
        <v>Josephine</v>
      </c>
      <c r="C14" s="15">
        <f>VLOOKUP($B14,'County Data'!$B$10:$L$46,2,FALSE)</f>
        <v>86750</v>
      </c>
      <c r="D14" s="29">
        <f>VLOOKUP($B14,'County Data'!$B$10:$L$46,10,FALSE)</f>
        <v>1.3108498984552895E-2</v>
      </c>
      <c r="E14" s="31">
        <f t="shared" si="0"/>
        <v>1137.1622869099638</v>
      </c>
      <c r="F14" s="6">
        <f t="shared" si="1"/>
        <v>4.5807529463348113E-3</v>
      </c>
      <c r="G14" s="14">
        <f t="shared" si="2"/>
        <v>10612.077659008979</v>
      </c>
      <c r="H14" s="10">
        <f t="shared" si="3"/>
        <v>0.12232942546408045</v>
      </c>
      <c r="J14" s="32"/>
    </row>
    <row r="15" spans="2:10" x14ac:dyDescent="0.45">
      <c r="B15" s="20" t="str">
        <f>+'County Data'!$B$14</f>
        <v>Columbia</v>
      </c>
      <c r="C15" s="15">
        <f>VLOOKUP($B15,'County Data'!$B$10:$L$46,2,FALSE)</f>
        <v>52750</v>
      </c>
      <c r="D15" s="29">
        <f>VLOOKUP($B15,'County Data'!$B$10:$L$46,10,FALSE)</f>
        <v>1.3475133196508903E-2</v>
      </c>
      <c r="E15" s="31">
        <f t="shared" si="0"/>
        <v>710.81327611584459</v>
      </c>
      <c r="F15" s="6">
        <f t="shared" si="1"/>
        <v>2.8633204304632002E-3</v>
      </c>
      <c r="G15" s="14">
        <f t="shared" si="2"/>
        <v>6633.3589972397467</v>
      </c>
      <c r="H15" s="10">
        <f t="shared" si="3"/>
        <v>0.12575088146426061</v>
      </c>
      <c r="J15" s="32"/>
    </row>
    <row r="16" spans="2:10" x14ac:dyDescent="0.45">
      <c r="B16" s="20" t="str">
        <f>+'County Data'!$B$41</f>
        <v>Union</v>
      </c>
      <c r="C16" s="15">
        <f>VLOOKUP($B16,'County Data'!$B$10:$L$46,2,FALSE)</f>
        <v>26840</v>
      </c>
      <c r="D16" s="29">
        <f>VLOOKUP($B16,'County Data'!$B$10:$L$46,10,FALSE)</f>
        <v>1.6070990431013329E-2</v>
      </c>
      <c r="E16" s="31">
        <f t="shared" si="0"/>
        <v>431.34538316839775</v>
      </c>
      <c r="F16" s="6">
        <f t="shared" si="1"/>
        <v>1.7375590604624047E-3</v>
      </c>
      <c r="G16" s="14">
        <f t="shared" si="2"/>
        <v>4025.3451567379038</v>
      </c>
      <c r="H16" s="10">
        <f t="shared" si="3"/>
        <v>0.14997560196489954</v>
      </c>
      <c r="J16" s="32"/>
    </row>
    <row r="17" spans="2:10" x14ac:dyDescent="0.45">
      <c r="B17" s="20" t="str">
        <f>+'County Data'!$B$15</f>
        <v>Coos</v>
      </c>
      <c r="C17" s="15">
        <f>VLOOKUP($B17,'County Data'!$B$10:$L$46,2,FALSE)</f>
        <v>63290</v>
      </c>
      <c r="D17" s="29">
        <f>VLOOKUP($B17,'County Data'!$B$10:$L$46,10,FALSE)</f>
        <v>1.4799926913941166E-2</v>
      </c>
      <c r="E17" s="31">
        <f t="shared" si="0"/>
        <v>936.68737438333642</v>
      </c>
      <c r="F17" s="6">
        <f t="shared" si="1"/>
        <v>3.7731935884546364E-3</v>
      </c>
      <c r="G17" s="14">
        <f t="shared" si="2"/>
        <v>8741.23181325324</v>
      </c>
      <c r="H17" s="10">
        <f t="shared" si="3"/>
        <v>0.1381139487004778</v>
      </c>
      <c r="J17" s="32"/>
    </row>
    <row r="18" spans="2:10" x14ac:dyDescent="0.45">
      <c r="B18" s="20" t="str">
        <f>+'County Data'!$B$22</f>
        <v>Harney</v>
      </c>
      <c r="C18" s="15">
        <f>VLOOKUP($B18,'County Data'!$B$10:$L$46,2,FALSE)</f>
        <v>7360</v>
      </c>
      <c r="D18" s="29">
        <f>VLOOKUP($B18,'County Data'!$B$10:$L$46,10,FALSE)</f>
        <v>1.5169194865810968E-2</v>
      </c>
      <c r="E18" s="31">
        <f t="shared" si="0"/>
        <v>111.64527421236873</v>
      </c>
      <c r="F18" s="6">
        <f t="shared" si="1"/>
        <v>4.4973301056470776E-4</v>
      </c>
      <c r="G18" s="14">
        <f t="shared" si="2"/>
        <v>1041.8814744749063</v>
      </c>
      <c r="H18" s="10">
        <f t="shared" si="3"/>
        <v>0.14155998294496011</v>
      </c>
      <c r="J18" s="32"/>
    </row>
    <row r="19" spans="2:10" x14ac:dyDescent="0.45">
      <c r="B19" s="20" t="str">
        <f>+'County Data'!$B$18</f>
        <v>Deschutes</v>
      </c>
      <c r="C19" s="15">
        <f>VLOOKUP($B19,'County Data'!$B$10:$L$46,2,FALSE)</f>
        <v>193000</v>
      </c>
      <c r="D19" s="29">
        <f>VLOOKUP($B19,'County Data'!$B$10:$L$46,10,FALSE)</f>
        <v>2.1095839220861116E-2</v>
      </c>
      <c r="E19" s="31">
        <f t="shared" si="0"/>
        <v>4071.4969696261956</v>
      </c>
      <c r="F19" s="6">
        <f t="shared" si="1"/>
        <v>1.6400932350902987E-2</v>
      </c>
      <c r="G19" s="14">
        <f t="shared" si="2"/>
        <v>37995.493279591916</v>
      </c>
      <c r="H19" s="10">
        <f t="shared" si="3"/>
        <v>0.19686784082690112</v>
      </c>
      <c r="J19" s="32"/>
    </row>
    <row r="20" spans="2:10" x14ac:dyDescent="0.45">
      <c r="B20" s="20" t="str">
        <f>+'County Data'!$B$31</f>
        <v>Linn</v>
      </c>
      <c r="C20" s="15">
        <f>VLOOKUP($B20,'County Data'!$B$10:$L$46,2,FALSE)</f>
        <v>126550</v>
      </c>
      <c r="D20" s="29">
        <f>VLOOKUP($B20,'County Data'!$B$10:$L$46,10,FALSE)</f>
        <v>2.4106299860542066E-2</v>
      </c>
      <c r="E20" s="31">
        <f t="shared" si="0"/>
        <v>3050.6522473515984</v>
      </c>
      <c r="F20" s="6">
        <f t="shared" si="1"/>
        <v>1.2288733482598494E-2</v>
      </c>
      <c r="G20" s="14">
        <f t="shared" si="2"/>
        <v>28468.899234686509</v>
      </c>
      <c r="H20" s="10">
        <f t="shared" si="3"/>
        <v>0.22496166917966423</v>
      </c>
      <c r="J20" s="32"/>
    </row>
    <row r="21" spans="2:10" x14ac:dyDescent="0.45">
      <c r="B21" s="20" t="str">
        <f>+'County Data'!$B$39</f>
        <v>Tillamook</v>
      </c>
      <c r="C21" s="15">
        <f>VLOOKUP($B21,'County Data'!$B$10:$L$46,2,FALSE)</f>
        <v>26500</v>
      </c>
      <c r="D21" s="29">
        <f>VLOOKUP($B21,'County Data'!$B$10:$L$46,10,FALSE)</f>
        <v>3.1383278345537939E-2</v>
      </c>
      <c r="E21" s="31">
        <f t="shared" si="0"/>
        <v>831.6568761567554</v>
      </c>
      <c r="F21" s="6">
        <f t="shared" si="1"/>
        <v>3.350106426890583E-3</v>
      </c>
      <c r="G21" s="14">
        <f t="shared" si="2"/>
        <v>7761.0798889631833</v>
      </c>
      <c r="H21" s="10">
        <f t="shared" si="3"/>
        <v>0.29287093920615787</v>
      </c>
      <c r="J21" s="32"/>
    </row>
    <row r="22" spans="2:10" x14ac:dyDescent="0.45">
      <c r="B22" s="20" t="str">
        <f>+'County Data'!$B$28</f>
        <v>Lake</v>
      </c>
      <c r="C22" s="15">
        <f>VLOOKUP($B22,'County Data'!$B$10:$L$46,2,FALSE)</f>
        <v>8080</v>
      </c>
      <c r="D22" s="29">
        <f>VLOOKUP($B22,'County Data'!$B$10:$L$46,10,FALSE)</f>
        <v>1.7890772128060263E-2</v>
      </c>
      <c r="E22" s="31">
        <f t="shared" si="0"/>
        <v>144.55743879472692</v>
      </c>
      <c r="F22" s="6">
        <f t="shared" si="1"/>
        <v>5.823108287146253E-4</v>
      </c>
      <c r="G22" s="14">
        <f t="shared" si="2"/>
        <v>1349.0200865222153</v>
      </c>
      <c r="H22" s="10">
        <f t="shared" si="3"/>
        <v>0.16695793150027416</v>
      </c>
      <c r="J22" s="32"/>
    </row>
    <row r="23" spans="2:10" x14ac:dyDescent="0.45">
      <c r="B23" s="20" t="str">
        <f>+'County Data'!$B$29</f>
        <v>Lane</v>
      </c>
      <c r="C23" s="15">
        <f>VLOOKUP($B23,'County Data'!$B$10:$L$46,2,FALSE)</f>
        <v>378880</v>
      </c>
      <c r="D23" s="29">
        <f>VLOOKUP($B23,'County Data'!$B$10:$L$46,10,FALSE)</f>
        <v>2.5791358183192822E-2</v>
      </c>
      <c r="E23" s="31">
        <f t="shared" si="0"/>
        <v>9771.8297884480962</v>
      </c>
      <c r="F23" s="6">
        <f t="shared" si="1"/>
        <v>3.9363192580145777E-2</v>
      </c>
      <c r="G23" s="14">
        <f t="shared" si="2"/>
        <v>91191.396144004379</v>
      </c>
      <c r="H23" s="10">
        <f t="shared" si="3"/>
        <v>0.24068675080237642</v>
      </c>
      <c r="J23" s="32"/>
    </row>
    <row r="24" spans="2:10" x14ac:dyDescent="0.45">
      <c r="B24" s="20" t="str">
        <f>+'County Data'!$B$13</f>
        <v>Clatsop</v>
      </c>
      <c r="C24" s="15">
        <f>VLOOKUP($B24,'County Data'!$B$10:$L$46,2,FALSE)</f>
        <v>39330</v>
      </c>
      <c r="D24" s="29">
        <f>VLOOKUP($B24,'County Data'!$B$10:$L$46,10,FALSE)</f>
        <v>3.0615877536489856E-2</v>
      </c>
      <c r="E24" s="31">
        <f t="shared" si="0"/>
        <v>1204.122463510146</v>
      </c>
      <c r="F24" s="6">
        <f t="shared" si="1"/>
        <v>4.8504840390549741E-3</v>
      </c>
      <c r="G24" s="14">
        <f t="shared" si="2"/>
        <v>11236.954690477356</v>
      </c>
      <c r="H24" s="10">
        <f t="shared" si="3"/>
        <v>0.28570950141056078</v>
      </c>
      <c r="J24" s="32"/>
    </row>
    <row r="25" spans="2:10" x14ac:dyDescent="0.45">
      <c r="B25" s="20" t="str">
        <f>+'County Data'!$B$27</f>
        <v>Klamath</v>
      </c>
      <c r="C25" s="15">
        <f>VLOOKUP($B25,'County Data'!$B$10:$L$46,2,FALSE)</f>
        <v>68190</v>
      </c>
      <c r="D25" s="29">
        <f>VLOOKUP($B25,'County Data'!$B$10:$L$46,10,FALSE)</f>
        <v>3.3411008437123343E-2</v>
      </c>
      <c r="E25" s="31">
        <f t="shared" si="0"/>
        <v>2278.2966653274407</v>
      </c>
      <c r="F25" s="6">
        <f t="shared" si="1"/>
        <v>9.1775063968066312E-3</v>
      </c>
      <c r="G25" s="14">
        <f t="shared" si="2"/>
        <v>21261.223152602026</v>
      </c>
      <c r="H25" s="10">
        <f t="shared" si="3"/>
        <v>0.3117938576419127</v>
      </c>
      <c r="J25" s="32"/>
    </row>
    <row r="26" spans="2:10" x14ac:dyDescent="0.45">
      <c r="B26" s="20" t="str">
        <f>+'County Data'!$B$30</f>
        <v>Lincoln</v>
      </c>
      <c r="C26" s="15">
        <f>VLOOKUP($B26,'County Data'!$B$10:$L$46,2,FALSE)</f>
        <v>48260</v>
      </c>
      <c r="D26" s="29">
        <f>VLOOKUP($B26,'County Data'!$B$10:$L$46,10,FALSE)</f>
        <v>1.9758771929824562E-2</v>
      </c>
      <c r="E26" s="31">
        <f t="shared" si="0"/>
        <v>953.55833333333339</v>
      </c>
      <c r="F26" s="6">
        <f t="shared" si="1"/>
        <v>3.8411537167558408E-3</v>
      </c>
      <c r="G26" s="14">
        <f t="shared" si="2"/>
        <v>8898.6727771510305</v>
      </c>
      <c r="H26" s="10">
        <f t="shared" si="3"/>
        <v>0.1843902357470168</v>
      </c>
      <c r="J26" s="32"/>
    </row>
    <row r="27" spans="2:10" x14ac:dyDescent="0.45">
      <c r="B27" s="20" t="str">
        <f>+'County Data'!$B$24</f>
        <v>Jackson</v>
      </c>
      <c r="C27" s="15">
        <f>VLOOKUP($B27,'County Data'!$B$10:$L$46,2,FALSE)</f>
        <v>221290</v>
      </c>
      <c r="D27" s="29">
        <f>VLOOKUP($B27,'County Data'!$B$10:$L$46,10,FALSE)</f>
        <v>3.5138513530205188E-2</v>
      </c>
      <c r="E27" s="31">
        <f t="shared" si="0"/>
        <v>7775.8016590991065</v>
      </c>
      <c r="F27" s="6">
        <f t="shared" si="1"/>
        <v>3.1322729191821615E-2</v>
      </c>
      <c r="G27" s="14">
        <f t="shared" si="2"/>
        <v>72564.322627720074</v>
      </c>
      <c r="H27" s="10">
        <f t="shared" si="3"/>
        <v>0.32791505548248939</v>
      </c>
      <c r="J27" s="32"/>
    </row>
    <row r="28" spans="2:10" x14ac:dyDescent="0.45">
      <c r="B28" s="20" t="str">
        <f>+'County Data'!$B$11</f>
        <v>Benton</v>
      </c>
      <c r="C28" s="15">
        <f>VLOOKUP($B28,'County Data'!$B$10:$L$46,2,FALSE)</f>
        <v>94360</v>
      </c>
      <c r="D28" s="29">
        <f>VLOOKUP($B28,'County Data'!$B$10:$L$46,10,FALSE)</f>
        <v>4.7645036926935759E-2</v>
      </c>
      <c r="E28" s="31">
        <f t="shared" si="0"/>
        <v>4495.7856844256585</v>
      </c>
      <c r="F28" s="6">
        <f t="shared" si="1"/>
        <v>1.8110065517546715E-2</v>
      </c>
      <c r="G28" s="14">
        <f t="shared" si="2"/>
        <v>41954.985115649884</v>
      </c>
      <c r="H28" s="10">
        <f t="shared" si="3"/>
        <v>0.4446268028364761</v>
      </c>
      <c r="J28" s="32"/>
    </row>
    <row r="29" spans="2:10" x14ac:dyDescent="0.45">
      <c r="B29" s="20" t="str">
        <f>+'County Data'!$B$12</f>
        <v>Clackamas</v>
      </c>
      <c r="C29" s="15">
        <f>VLOOKUP($B29,'County Data'!$B$10:$L$46,2,FALSE)</f>
        <v>423420</v>
      </c>
      <c r="D29" s="29">
        <f>VLOOKUP($B29,'County Data'!$B$10:$L$46,10,FALSE)</f>
        <v>4.0874504898895145E-2</v>
      </c>
      <c r="E29" s="31">
        <f t="shared" si="0"/>
        <v>17307.082864290183</v>
      </c>
      <c r="F29" s="6">
        <f t="shared" si="1"/>
        <v>6.9716936391274326E-2</v>
      </c>
      <c r="G29" s="14">
        <f t="shared" si="2"/>
        <v>161510.90263978552</v>
      </c>
      <c r="H29" s="10">
        <f t="shared" si="3"/>
        <v>0.38144372641770707</v>
      </c>
      <c r="J29" s="32"/>
    </row>
    <row r="30" spans="2:10" x14ac:dyDescent="0.45">
      <c r="B30" s="20" t="str">
        <f>+'County Data'!$B$37</f>
        <v>Polk</v>
      </c>
      <c r="C30" s="15">
        <f>VLOOKUP($B30,'County Data'!$B$10:$L$46,2,FALSE)</f>
        <v>82940</v>
      </c>
      <c r="D30" s="29">
        <f>VLOOKUP($B30,'County Data'!$B$10:$L$46,10,FALSE)</f>
        <v>5.112740819862184E-2</v>
      </c>
      <c r="E30" s="31">
        <f t="shared" si="0"/>
        <v>4240.5072359936958</v>
      </c>
      <c r="F30" s="6">
        <f t="shared" si="1"/>
        <v>1.7081744829944564E-2</v>
      </c>
      <c r="G30" s="14">
        <f t="shared" si="2"/>
        <v>39572.70885603824</v>
      </c>
      <c r="H30" s="10">
        <f t="shared" si="3"/>
        <v>0.47712453407328476</v>
      </c>
      <c r="J30" s="32"/>
    </row>
    <row r="31" spans="2:10" x14ac:dyDescent="0.45">
      <c r="B31" s="20" t="str">
        <f>+'County Data'!$B$25</f>
        <v>Jefferson</v>
      </c>
      <c r="C31" s="15">
        <f>VLOOKUP($B31,'County Data'!$B$10:$L$46,2,FALSE)</f>
        <v>23840</v>
      </c>
      <c r="D31" s="29">
        <f>VLOOKUP($B31,'County Data'!$B$10:$L$46,10,FALSE)</f>
        <v>4.9472082622527551E-2</v>
      </c>
      <c r="E31" s="31">
        <f t="shared" si="0"/>
        <v>1179.4144497210568</v>
      </c>
      <c r="F31" s="6">
        <f t="shared" si="1"/>
        <v>4.7509544395727393E-3</v>
      </c>
      <c r="G31" s="14">
        <f t="shared" si="2"/>
        <v>11006.377785010178</v>
      </c>
      <c r="H31" s="10">
        <f t="shared" si="3"/>
        <v>0.46167692051217191</v>
      </c>
      <c r="J31" s="32"/>
    </row>
    <row r="32" spans="2:10" x14ac:dyDescent="0.45">
      <c r="B32" s="20" t="str">
        <f>+'County Data'!$B$46</f>
        <v>Yamhill</v>
      </c>
      <c r="C32" s="15">
        <f>VLOOKUP($B32,'County Data'!$B$10:$L$46,2,FALSE)</f>
        <v>108060</v>
      </c>
      <c r="D32" s="29">
        <f>VLOOKUP($B32,'County Data'!$B$10:$L$46,10,FALSE)</f>
        <v>5.2806933273375781E-2</v>
      </c>
      <c r="E32" s="31">
        <f t="shared" si="0"/>
        <v>5706.3172095209866</v>
      </c>
      <c r="F32" s="6">
        <f t="shared" si="1"/>
        <v>2.2986366740373534E-2</v>
      </c>
      <c r="G32" s="14">
        <f t="shared" si="2"/>
        <v>53251.749615198685</v>
      </c>
      <c r="H32" s="10">
        <f t="shared" si="3"/>
        <v>0.49279797904126121</v>
      </c>
      <c r="J32" s="32"/>
    </row>
    <row r="33" spans="2:10" x14ac:dyDescent="0.45">
      <c r="B33" s="20" t="str">
        <f>+'County Data'!$B$36</f>
        <v>Gilliam, Sherman, Wasco</v>
      </c>
      <c r="C33" s="15">
        <f>VLOOKUP($B33,'County Data'!$B$10:$L$46,2,FALSE)</f>
        <v>31000</v>
      </c>
      <c r="D33" s="29">
        <f>VLOOKUP($B33,'County Data'!$B$10:$L$46,10,FALSE)</f>
        <v>5.4470336679592647E-2</v>
      </c>
      <c r="E33" s="31">
        <f t="shared" si="0"/>
        <v>1688.580437067372</v>
      </c>
      <c r="F33" s="6">
        <f t="shared" si="1"/>
        <v>6.8019929092426133E-3</v>
      </c>
      <c r="G33" s="14">
        <f t="shared" si="2"/>
        <v>15757.950239745387</v>
      </c>
      <c r="H33" s="10">
        <f t="shared" si="3"/>
        <v>0.50832097547565769</v>
      </c>
      <c r="J33" s="32"/>
    </row>
    <row r="34" spans="2:10" x14ac:dyDescent="0.45">
      <c r="B34" s="20" t="str">
        <f>+'County Data'!$B$35</f>
        <v>Multnomah</v>
      </c>
      <c r="C34" s="15">
        <f>VLOOKUP($B34,'County Data'!$B$10:$L$46,2,FALSE)</f>
        <v>821730</v>
      </c>
      <c r="D34" s="29">
        <f>VLOOKUP($B34,'County Data'!$B$10:$L$46,10,FALSE)</f>
        <v>8.4254448034793039E-2</v>
      </c>
      <c r="E34" s="31">
        <f t="shared" si="0"/>
        <v>69234.407583630484</v>
      </c>
      <c r="F34" s="6">
        <f t="shared" si="1"/>
        <v>0.27889222160914923</v>
      </c>
      <c r="G34" s="14">
        <f t="shared" si="2"/>
        <v>646100.31339452905</v>
      </c>
      <c r="H34" s="10">
        <f t="shared" si="3"/>
        <v>0.78626837695414431</v>
      </c>
      <c r="J34" s="32"/>
    </row>
    <row r="35" spans="2:10" x14ac:dyDescent="0.45">
      <c r="B35" s="20" t="str">
        <f>+'County Data'!$B$32</f>
        <v>Malheur</v>
      </c>
      <c r="C35" s="15">
        <f>VLOOKUP($B35,'County Data'!$B$10:$L$46,2,FALSE)</f>
        <v>32030</v>
      </c>
      <c r="D35" s="29">
        <f>VLOOKUP($B35,'County Data'!$B$10:$L$46,10,FALSE)</f>
        <v>7.8250132298465336E-2</v>
      </c>
      <c r="E35" s="31">
        <f t="shared" si="0"/>
        <v>2506.3517375198448</v>
      </c>
      <c r="F35" s="6">
        <f t="shared" si="1"/>
        <v>1.009616502266613E-2</v>
      </c>
      <c r="G35" s="14">
        <f t="shared" si="2"/>
        <v>23389.448969176534</v>
      </c>
      <c r="H35" s="10">
        <f t="shared" si="3"/>
        <v>0.7302356843327048</v>
      </c>
      <c r="J35" s="32"/>
    </row>
    <row r="36" spans="2:10" x14ac:dyDescent="0.45">
      <c r="B36" s="20" t="str">
        <f>+'County Data'!$B$44</f>
        <v>Washington</v>
      </c>
      <c r="C36" s="15">
        <f>VLOOKUP($B36,'County Data'!$B$10:$L$46,2,FALSE)</f>
        <v>613410</v>
      </c>
      <c r="D36" s="29">
        <f>VLOOKUP($B36,'County Data'!$B$10:$L$46,10,FALSE)</f>
        <v>9.0625859571268771E-2</v>
      </c>
      <c r="E36" s="31">
        <f t="shared" si="0"/>
        <v>55590.808519611979</v>
      </c>
      <c r="F36" s="6">
        <f t="shared" si="1"/>
        <v>0.22393264606699795</v>
      </c>
      <c r="G36" s="14">
        <f t="shared" si="2"/>
        <v>518777.29672187852</v>
      </c>
      <c r="H36" s="10">
        <f t="shared" si="3"/>
        <v>0.84572683314891917</v>
      </c>
      <c r="J36" s="32"/>
    </row>
    <row r="37" spans="2:10" x14ac:dyDescent="0.45">
      <c r="B37" s="20" t="str">
        <f>+'County Data'!$B$40</f>
        <v>Umatilla</v>
      </c>
      <c r="C37" s="15">
        <f>VLOOKUP($B37,'County Data'!$B$10:$L$46,2,FALSE)</f>
        <v>81160</v>
      </c>
      <c r="D37" s="29">
        <f>VLOOKUP($B37,'County Data'!$B$10:$L$46,10,FALSE)</f>
        <v>0.10513829579390996</v>
      </c>
      <c r="E37" s="31">
        <f t="shared" si="0"/>
        <v>8533.0240866337317</v>
      </c>
      <c r="F37" s="6">
        <f t="shared" si="1"/>
        <v>3.4372996427983186E-2</v>
      </c>
      <c r="G37" s="14">
        <f t="shared" si="2"/>
        <v>79630.775058161045</v>
      </c>
      <c r="H37" s="10">
        <f t="shared" si="3"/>
        <v>0.98115789869592218</v>
      </c>
      <c r="J37" s="32"/>
    </row>
    <row r="38" spans="2:10" x14ac:dyDescent="0.45">
      <c r="B38" s="20" t="str">
        <f>+'County Data'!$B$33</f>
        <v>Marion</v>
      </c>
      <c r="C38" s="15">
        <f>VLOOKUP($B38,'County Data'!$B$10:$L$46,2,FALSE)</f>
        <v>347760</v>
      </c>
      <c r="D38" s="29">
        <f>VLOOKUP($B38,'County Data'!$B$10:$L$46,10,FALSE)</f>
        <v>0.10408129343246751</v>
      </c>
      <c r="E38" s="31">
        <f t="shared" si="0"/>
        <v>36195.310604074904</v>
      </c>
      <c r="F38" s="6">
        <f t="shared" si="1"/>
        <v>0.14580309037829295</v>
      </c>
      <c r="G38" s="14">
        <f t="shared" si="2"/>
        <v>337777.15937637864</v>
      </c>
      <c r="H38" s="10">
        <f t="shared" si="3"/>
        <v>0.97129387904410691</v>
      </c>
      <c r="J38" s="32"/>
    </row>
    <row r="39" spans="2:10" x14ac:dyDescent="0.45">
      <c r="B39" s="20" t="str">
        <f>+'County Data'!$B$23</f>
        <v>Hood River</v>
      </c>
      <c r="C39" s="15">
        <f>VLOOKUP($B39,'County Data'!$B$10:$L$46,2,FALSE)</f>
        <v>25480</v>
      </c>
      <c r="D39" s="29">
        <f>VLOOKUP($B39,'County Data'!$B$10:$L$46,10,FALSE)</f>
        <v>0.15446440944154463</v>
      </c>
      <c r="E39" s="31">
        <f t="shared" si="0"/>
        <v>3935.7531525705572</v>
      </c>
      <c r="F39" s="6">
        <f t="shared" si="1"/>
        <v>1.5854124830919185E-2</v>
      </c>
      <c r="G39" s="14">
        <f t="shared" si="2"/>
        <v>36728.722524962774</v>
      </c>
      <c r="H39" s="10">
        <f t="shared" si="3"/>
        <v>1.4414726265683977</v>
      </c>
      <c r="J39" s="32"/>
    </row>
    <row r="40" spans="2:10" x14ac:dyDescent="0.45">
      <c r="B40" s="20" t="str">
        <f>+'County Data'!$B$34</f>
        <v>Morrow</v>
      </c>
      <c r="C40" s="15">
        <f>VLOOKUP($B40,'County Data'!$B$10:$L$46,2,FALSE)</f>
        <v>12680</v>
      </c>
      <c r="D40" s="29">
        <f>VLOOKUP($B40,'County Data'!$B$10:$L$46,10,FALSE)</f>
        <v>0.15267839876232836</v>
      </c>
      <c r="E40" s="31">
        <f t="shared" si="0"/>
        <v>1935.9620963063237</v>
      </c>
      <c r="F40" s="6">
        <f t="shared" si="1"/>
        <v>7.7985035018575651E-3</v>
      </c>
      <c r="G40" s="14">
        <f t="shared" si="2"/>
        <v>18066.533112636691</v>
      </c>
      <c r="H40" s="10">
        <f t="shared" si="3"/>
        <v>1.4248054505233982</v>
      </c>
      <c r="J40" s="32"/>
    </row>
    <row r="41" spans="2:10" x14ac:dyDescent="0.45">
      <c r="B41" s="4" t="s">
        <v>2</v>
      </c>
      <c r="C41" s="5">
        <f>SUM(C7:C40)</f>
        <v>4236400</v>
      </c>
      <c r="D41" s="5"/>
      <c r="E41" s="5">
        <f>SUM(E7:E40)</f>
        <v>248247.89728506078</v>
      </c>
      <c r="F41" s="33">
        <f>SUM(F7:F40)</f>
        <v>0.99999999999999978</v>
      </c>
      <c r="G41" s="11">
        <f>SUM(G7:G40)</f>
        <v>2316666.6666666665</v>
      </c>
      <c r="H41" s="12">
        <f>G41/C41</f>
        <v>0.54684795266421171</v>
      </c>
    </row>
  </sheetData>
  <sortState xmlns:xlrd2="http://schemas.microsoft.com/office/spreadsheetml/2017/richdata2" ref="B7:H40">
    <sortCondition ref="D7:D40"/>
  </sortState>
  <pageMargins left="0.7" right="0.7" top="0.75" bottom="0.75" header="0.3" footer="0.3"/>
  <pageSetup orientation="portrait"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3:N41"/>
  <sheetViews>
    <sheetView workbookViewId="0"/>
  </sheetViews>
  <sheetFormatPr defaultRowHeight="14.25" x14ac:dyDescent="0.45"/>
  <cols>
    <col min="2" max="2" width="17.3984375" bestFit="1" customWidth="1"/>
    <col min="3" max="3" width="11.86328125" bestFit="1" customWidth="1"/>
    <col min="4" max="5" width="12.59765625" bestFit="1" customWidth="1"/>
    <col min="7" max="7" width="14.1328125" customWidth="1"/>
    <col min="8" max="8" width="10.59765625" bestFit="1" customWidth="1"/>
    <col min="9" max="9" width="9.73046875" bestFit="1" customWidth="1"/>
    <col min="10" max="11" width="10.73046875" bestFit="1" customWidth="1"/>
    <col min="12" max="12" width="11.59765625" customWidth="1"/>
    <col min="14" max="14" width="11.59765625" bestFit="1" customWidth="1"/>
  </cols>
  <sheetData>
    <row r="3" spans="2:14" x14ac:dyDescent="0.45">
      <c r="B3" t="s">
        <v>0</v>
      </c>
      <c r="C3" s="1">
        <f>'County Data'!C5</f>
        <v>17000000</v>
      </c>
    </row>
    <row r="4" spans="2:14" x14ac:dyDescent="0.45">
      <c r="B4" t="s">
        <v>41</v>
      </c>
      <c r="C4" s="14">
        <f>'County Data'!L9</f>
        <v>0</v>
      </c>
    </row>
    <row r="6" spans="2:14" s="2" customFormat="1" ht="28.5" x14ac:dyDescent="0.45">
      <c r="B6" s="3" t="s">
        <v>7</v>
      </c>
      <c r="C6" s="3" t="s">
        <v>1</v>
      </c>
      <c r="D6" s="3" t="s">
        <v>126</v>
      </c>
      <c r="E6" s="3" t="s">
        <v>127</v>
      </c>
      <c r="F6" s="3" t="s">
        <v>110</v>
      </c>
      <c r="G6" s="3" t="s">
        <v>114</v>
      </c>
      <c r="H6" s="3" t="s">
        <v>33</v>
      </c>
      <c r="I6" s="3" t="s">
        <v>34</v>
      </c>
      <c r="J6" s="3" t="s">
        <v>107</v>
      </c>
      <c r="K6" s="13" t="s">
        <v>98</v>
      </c>
      <c r="L6" s="3" t="s">
        <v>109</v>
      </c>
    </row>
    <row r="7" spans="2:14" x14ac:dyDescent="0.45">
      <c r="B7" s="20" t="str">
        <f>'County Data'!$B$45</f>
        <v>Wheeler</v>
      </c>
      <c r="C7" s="15">
        <f>VLOOKUP($B7,'County Data'!$B$10:$P$46,2,FALSE)</f>
        <v>1440</v>
      </c>
      <c r="D7" s="47">
        <v>22900</v>
      </c>
      <c r="E7" s="47">
        <f>VLOOKUP($B7,'County Data'!$B$10:$P$46,11,FALSE)</f>
        <v>6791</v>
      </c>
      <c r="F7" s="38">
        <f>IFERROR((E7-D7)/D7,-1)</f>
        <v>-0.70344978165938865</v>
      </c>
      <c r="G7" s="75">
        <f>IF(F7&lt;0,0,$C$4*Input!$C$37/36)</f>
        <v>0</v>
      </c>
      <c r="H7" s="31">
        <f>IF(F7&lt;0,0,C7*F7)</f>
        <v>0</v>
      </c>
      <c r="I7" s="38">
        <f>H7/$H$41</f>
        <v>0</v>
      </c>
      <c r="J7" s="75">
        <f>($C$4-$G$41)*I7</f>
        <v>0</v>
      </c>
      <c r="K7" s="77">
        <f>G7+J7</f>
        <v>0</v>
      </c>
      <c r="L7" s="46">
        <f>K7/C7</f>
        <v>0</v>
      </c>
      <c r="N7" s="160"/>
    </row>
    <row r="8" spans="2:14" x14ac:dyDescent="0.45">
      <c r="B8" s="20" t="str">
        <f>+'County Data'!$B$42</f>
        <v>Wallowa</v>
      </c>
      <c r="C8" s="15">
        <f>VLOOKUP($B8,'County Data'!$B$10:$P$46,2,FALSE)</f>
        <v>7150</v>
      </c>
      <c r="D8" s="88">
        <v>0</v>
      </c>
      <c r="E8" s="47">
        <f>VLOOKUP($B8,'County Data'!$B$10:$P$46,11,FALSE)</f>
        <v>0</v>
      </c>
      <c r="F8" s="29">
        <f>IFERROR((E8-D8)/D8,-1)</f>
        <v>-1</v>
      </c>
      <c r="G8" s="75">
        <f>IF(F8&lt;0,0,$C$4*Input!$C$37/36)</f>
        <v>0</v>
      </c>
      <c r="H8" s="31">
        <f t="shared" ref="H8:H40" si="0">IF(F8&lt;0,0,C8*F8)</f>
        <v>0</v>
      </c>
      <c r="I8" s="38">
        <f t="shared" ref="I8:I40" si="1">H8/$H$41</f>
        <v>0</v>
      </c>
      <c r="J8" s="75">
        <f t="shared" ref="J8:J40" si="2">($C$4-$G$41)*I8</f>
        <v>0</v>
      </c>
      <c r="K8" s="77">
        <f t="shared" ref="K8:K40" si="3">G8+J8</f>
        <v>0</v>
      </c>
      <c r="L8" s="46">
        <f t="shared" ref="L8:L40" si="4">K8/C8</f>
        <v>0</v>
      </c>
      <c r="N8" s="160"/>
    </row>
    <row r="9" spans="2:14" x14ac:dyDescent="0.45">
      <c r="B9" s="20" t="str">
        <f>+'County Data'!$B$22</f>
        <v>Harney</v>
      </c>
      <c r="C9" s="15">
        <f>VLOOKUP($B9,'County Data'!$B$10:$P$46,2,FALSE)</f>
        <v>7360</v>
      </c>
      <c r="D9" s="47">
        <v>96952</v>
      </c>
      <c r="E9" s="47">
        <f>VLOOKUP($B9,'County Data'!$B$10:$P$46,11,FALSE)</f>
        <v>172270</v>
      </c>
      <c r="F9" s="38">
        <f t="shared" ref="F9:F41" si="5">IFERROR((E9-D9)/D9,-1)</f>
        <v>0.77685865170393598</v>
      </c>
      <c r="G9" s="75">
        <f>IF(F9&lt;0,0,$C$4*Input!$C$37/36)</f>
        <v>0</v>
      </c>
      <c r="H9" s="31">
        <f>IF(F9&lt;0,0,C9*F9)</f>
        <v>5717.679676540969</v>
      </c>
      <c r="I9" s="38">
        <f t="shared" si="1"/>
        <v>1.4315042428198217E-3</v>
      </c>
      <c r="J9" s="75">
        <f t="shared" si="2"/>
        <v>0</v>
      </c>
      <c r="K9" s="77">
        <f t="shared" si="3"/>
        <v>0</v>
      </c>
      <c r="L9" s="46">
        <f t="shared" si="4"/>
        <v>0</v>
      </c>
      <c r="N9" s="6"/>
    </row>
    <row r="10" spans="2:14" x14ac:dyDescent="0.45">
      <c r="B10" s="20" t="str">
        <f>+'County Data'!$B$21</f>
        <v>Grant</v>
      </c>
      <c r="C10" s="15">
        <f>VLOOKUP($B10,'County Data'!$B$10:$P$46,2,FALSE)</f>
        <v>7360</v>
      </c>
      <c r="D10" s="47">
        <v>73636</v>
      </c>
      <c r="E10" s="47">
        <f>VLOOKUP($B10,'County Data'!$B$10:$P$46,11,FALSE)</f>
        <v>0</v>
      </c>
      <c r="F10" s="38">
        <f t="shared" si="5"/>
        <v>-1</v>
      </c>
      <c r="G10" s="75">
        <f>IF(F10&lt;0,0,$C$4*Input!$C$37/36)</f>
        <v>0</v>
      </c>
      <c r="H10" s="31">
        <f t="shared" si="0"/>
        <v>0</v>
      </c>
      <c r="I10" s="38">
        <f t="shared" si="1"/>
        <v>0</v>
      </c>
      <c r="J10" s="75">
        <f t="shared" si="2"/>
        <v>0</v>
      </c>
      <c r="K10" s="77">
        <f t="shared" si="3"/>
        <v>0</v>
      </c>
      <c r="L10" s="46">
        <f t="shared" si="4"/>
        <v>0</v>
      </c>
      <c r="N10" s="160"/>
    </row>
    <row r="11" spans="2:14" x14ac:dyDescent="0.45">
      <c r="B11" s="20" t="str">
        <f>+'County Data'!$B$28</f>
        <v>Lake</v>
      </c>
      <c r="C11" s="15">
        <f>VLOOKUP($B11,'County Data'!$B$10:$P$46,2,FALSE)</f>
        <v>8080</v>
      </c>
      <c r="D11" s="47">
        <v>151267</v>
      </c>
      <c r="E11" s="47">
        <f>VLOOKUP($B11,'County Data'!$B$10:$P$46,11,FALSE)</f>
        <v>187877</v>
      </c>
      <c r="F11" s="38">
        <f t="shared" si="5"/>
        <v>0.24202238426094258</v>
      </c>
      <c r="G11" s="75">
        <f>IF(F11&lt;0,0,$C$4*Input!$C$37/36)</f>
        <v>0</v>
      </c>
      <c r="H11" s="31">
        <f t="shared" si="0"/>
        <v>1955.540864828416</v>
      </c>
      <c r="I11" s="38">
        <f t="shared" si="1"/>
        <v>4.8959808932545095E-4</v>
      </c>
      <c r="J11" s="75">
        <f t="shared" si="2"/>
        <v>0</v>
      </c>
      <c r="K11" s="77">
        <f t="shared" si="3"/>
        <v>0</v>
      </c>
      <c r="L11" s="46">
        <f t="shared" si="4"/>
        <v>0</v>
      </c>
      <c r="N11" s="6"/>
    </row>
    <row r="12" spans="2:14" x14ac:dyDescent="0.45">
      <c r="B12" s="20" t="str">
        <f>+'County Data'!$B$34</f>
        <v>Morrow</v>
      </c>
      <c r="C12" s="15">
        <f>VLOOKUP($B12,'County Data'!$B$10:$P$46,2,FALSE)</f>
        <v>12680</v>
      </c>
      <c r="D12" s="47">
        <v>621474</v>
      </c>
      <c r="E12" s="47">
        <f>VLOOKUP($B12,'County Data'!$B$10:$P$46,11,FALSE)</f>
        <v>712823</v>
      </c>
      <c r="F12" s="38">
        <f t="shared" si="5"/>
        <v>0.14698764550085763</v>
      </c>
      <c r="G12" s="75">
        <f>IF(F12&lt;0,0,$C$4*Input!$C$37/36)</f>
        <v>0</v>
      </c>
      <c r="H12" s="31">
        <f t="shared" si="0"/>
        <v>1863.8033449508748</v>
      </c>
      <c r="I12" s="38">
        <f t="shared" si="1"/>
        <v>4.6663026734877202E-4</v>
      </c>
      <c r="J12" s="75">
        <f t="shared" si="2"/>
        <v>0</v>
      </c>
      <c r="K12" s="77">
        <f t="shared" si="3"/>
        <v>0</v>
      </c>
      <c r="L12" s="46">
        <f t="shared" si="4"/>
        <v>0</v>
      </c>
      <c r="N12" s="6"/>
    </row>
    <row r="13" spans="2:14" x14ac:dyDescent="0.45">
      <c r="B13" s="20" t="str">
        <f>+'County Data'!$B$10</f>
        <v>Baker</v>
      </c>
      <c r="C13" s="15">
        <f>VLOOKUP($B13,'County Data'!$B$10:$P$46,2,FALSE)</f>
        <v>16820</v>
      </c>
      <c r="D13" s="47">
        <v>246676</v>
      </c>
      <c r="E13" s="47">
        <f>VLOOKUP($B13,'County Data'!$B$10:$P$46,11,FALSE)</f>
        <v>361764</v>
      </c>
      <c r="F13" s="38">
        <f t="shared" si="5"/>
        <v>0.46655531952845025</v>
      </c>
      <c r="G13" s="75">
        <f>IF(F13&lt;0,0,$C$4*Input!$C$37/36)</f>
        <v>0</v>
      </c>
      <c r="H13" s="31">
        <f t="shared" si="0"/>
        <v>7847.460474468533</v>
      </c>
      <c r="I13" s="38">
        <f t="shared" si="1"/>
        <v>1.9647258328676785E-3</v>
      </c>
      <c r="J13" s="75">
        <f t="shared" si="2"/>
        <v>0</v>
      </c>
      <c r="K13" s="77">
        <f t="shared" si="3"/>
        <v>0</v>
      </c>
      <c r="L13" s="46">
        <f t="shared" si="4"/>
        <v>0</v>
      </c>
      <c r="N13" s="6"/>
    </row>
    <row r="14" spans="2:14" x14ac:dyDescent="0.45">
      <c r="B14" s="20" t="str">
        <f>+'County Data'!$B$16</f>
        <v>Crook</v>
      </c>
      <c r="C14" s="15">
        <f>VLOOKUP($B14,'County Data'!$B$10:$P$46,2,FALSE)</f>
        <v>23440</v>
      </c>
      <c r="D14" s="47">
        <v>622139</v>
      </c>
      <c r="E14" s="47">
        <f>VLOOKUP($B14,'County Data'!$B$10:$P$46,11,FALSE)</f>
        <v>1584688</v>
      </c>
      <c r="F14" s="38">
        <f t="shared" si="5"/>
        <v>1.5471606827413167</v>
      </c>
      <c r="G14" s="75">
        <f>IF(F14&lt;0,0,$C$4*Input!$C$37/36)</f>
        <v>0</v>
      </c>
      <c r="H14" s="31">
        <f t="shared" si="0"/>
        <v>36265.446403456466</v>
      </c>
      <c r="I14" s="38">
        <f t="shared" si="1"/>
        <v>9.0795818113597656E-3</v>
      </c>
      <c r="J14" s="75">
        <f t="shared" si="2"/>
        <v>0</v>
      </c>
      <c r="K14" s="77">
        <f t="shared" si="3"/>
        <v>0</v>
      </c>
      <c r="L14" s="46">
        <f t="shared" si="4"/>
        <v>0</v>
      </c>
      <c r="N14" s="6"/>
    </row>
    <row r="15" spans="2:14" x14ac:dyDescent="0.45">
      <c r="B15" s="20" t="str">
        <f>+'County Data'!$B$17</f>
        <v>Curry</v>
      </c>
      <c r="C15" s="15">
        <f>VLOOKUP($B15,'County Data'!$B$10:$P$46,2,FALSE)</f>
        <v>23000</v>
      </c>
      <c r="D15" s="47">
        <v>144795</v>
      </c>
      <c r="E15" s="47">
        <f>VLOOKUP($B15,'County Data'!$B$10:$P$46,11,FALSE)</f>
        <v>703878</v>
      </c>
      <c r="F15" s="38">
        <f t="shared" si="5"/>
        <v>3.8612037708484408</v>
      </c>
      <c r="G15" s="75">
        <f>IF(F15&lt;0,0,$C$4*Input!$C$37/36)</f>
        <v>0</v>
      </c>
      <c r="H15" s="31">
        <f t="shared" si="0"/>
        <v>88807.686729514142</v>
      </c>
      <c r="I15" s="38">
        <f t="shared" si="1"/>
        <v>2.2234295647919573E-2</v>
      </c>
      <c r="J15" s="75">
        <f t="shared" si="2"/>
        <v>0</v>
      </c>
      <c r="K15" s="77">
        <f t="shared" si="3"/>
        <v>0</v>
      </c>
      <c r="L15" s="46">
        <f t="shared" si="4"/>
        <v>0</v>
      </c>
      <c r="N15" s="6"/>
    </row>
    <row r="16" spans="2:14" x14ac:dyDescent="0.45">
      <c r="B16" s="20" t="str">
        <f>+'County Data'!$B$25</f>
        <v>Jefferson</v>
      </c>
      <c r="C16" s="15">
        <f>VLOOKUP($B16,'County Data'!$B$10:$P$46,2,FALSE)</f>
        <v>23840</v>
      </c>
      <c r="D16" s="47">
        <v>566944</v>
      </c>
      <c r="E16" s="47">
        <f>VLOOKUP($B16,'County Data'!$B$10:$P$46,11,FALSE)</f>
        <v>261557</v>
      </c>
      <c r="F16" s="38">
        <f t="shared" si="5"/>
        <v>-0.53865461139019022</v>
      </c>
      <c r="G16" s="75">
        <f>IF(F16&lt;0,0,$C$4*Input!$C$37/36)</f>
        <v>0</v>
      </c>
      <c r="H16" s="31">
        <f t="shared" si="0"/>
        <v>0</v>
      </c>
      <c r="I16" s="38">
        <f t="shared" si="1"/>
        <v>0</v>
      </c>
      <c r="J16" s="75">
        <f t="shared" si="2"/>
        <v>0</v>
      </c>
      <c r="K16" s="77">
        <f t="shared" si="3"/>
        <v>0</v>
      </c>
      <c r="L16" s="46">
        <f t="shared" si="4"/>
        <v>0</v>
      </c>
      <c r="N16" s="160"/>
    </row>
    <row r="17" spans="2:14" x14ac:dyDescent="0.45">
      <c r="B17" s="20" t="str">
        <f>+'County Data'!$B$23</f>
        <v>Hood River</v>
      </c>
      <c r="C17" s="15">
        <f>VLOOKUP($B17,'County Data'!$B$10:$P$46,2,FALSE)</f>
        <v>25480</v>
      </c>
      <c r="D17" s="47">
        <v>822751</v>
      </c>
      <c r="E17" s="47">
        <f>VLOOKUP($B17,'County Data'!$B$10:$P$46,11,FALSE)</f>
        <v>729676</v>
      </c>
      <c r="F17" s="38">
        <f t="shared" si="5"/>
        <v>-0.11312657170881592</v>
      </c>
      <c r="G17" s="75">
        <f>IF(F17&lt;0,0,$C$4*Input!$C$37/36)</f>
        <v>0</v>
      </c>
      <c r="H17" s="31">
        <f t="shared" si="0"/>
        <v>0</v>
      </c>
      <c r="I17" s="38">
        <f t="shared" si="1"/>
        <v>0</v>
      </c>
      <c r="J17" s="75">
        <f t="shared" si="2"/>
        <v>0</v>
      </c>
      <c r="K17" s="77">
        <f t="shared" si="3"/>
        <v>0</v>
      </c>
      <c r="L17" s="46">
        <f t="shared" si="4"/>
        <v>0</v>
      </c>
      <c r="N17" s="160"/>
    </row>
    <row r="18" spans="2:14" x14ac:dyDescent="0.45">
      <c r="B18" s="20" t="str">
        <f>+'County Data'!$B$39</f>
        <v>Tillamook</v>
      </c>
      <c r="C18" s="15">
        <f>VLOOKUP($B18,'County Data'!$B$10:$P$46,2,FALSE)</f>
        <v>26500</v>
      </c>
      <c r="D18" s="47">
        <v>146840</v>
      </c>
      <c r="E18" s="47">
        <f>VLOOKUP($B18,'County Data'!$B$10:$P$46,11,FALSE)</f>
        <v>119798</v>
      </c>
      <c r="F18" s="38">
        <f t="shared" si="5"/>
        <v>-0.18415962952873877</v>
      </c>
      <c r="G18" s="75">
        <f>IF(F18&lt;0,0,$C$4*Input!$C$37/36)</f>
        <v>0</v>
      </c>
      <c r="H18" s="31">
        <f t="shared" si="0"/>
        <v>0</v>
      </c>
      <c r="I18" s="38">
        <f t="shared" si="1"/>
        <v>0</v>
      </c>
      <c r="J18" s="75">
        <f t="shared" si="2"/>
        <v>0</v>
      </c>
      <c r="K18" s="77">
        <f t="shared" si="3"/>
        <v>0</v>
      </c>
      <c r="L18" s="46">
        <f t="shared" si="4"/>
        <v>0</v>
      </c>
      <c r="N18" s="160"/>
    </row>
    <row r="19" spans="2:14" x14ac:dyDescent="0.45">
      <c r="B19" s="20" t="str">
        <f>+'County Data'!$B$41</f>
        <v>Union</v>
      </c>
      <c r="C19" s="15">
        <f>VLOOKUP($B19,'County Data'!$B$10:$P$46,2,FALSE)</f>
        <v>26840</v>
      </c>
      <c r="D19" s="47">
        <v>145000</v>
      </c>
      <c r="E19" s="47">
        <f>VLOOKUP($B19,'County Data'!$B$10:$P$46,11,FALSE)</f>
        <v>153290</v>
      </c>
      <c r="F19" s="38">
        <f t="shared" si="5"/>
        <v>5.7172413793103449E-2</v>
      </c>
      <c r="G19" s="75">
        <f>IF(F19&lt;0,0,$C$4*Input!$C$37/36)</f>
        <v>0</v>
      </c>
      <c r="H19" s="31">
        <f t="shared" si="0"/>
        <v>1534.5075862068966</v>
      </c>
      <c r="I19" s="38">
        <f t="shared" si="1"/>
        <v>3.8418628614453755E-4</v>
      </c>
      <c r="J19" s="75">
        <f t="shared" si="2"/>
        <v>0</v>
      </c>
      <c r="K19" s="77">
        <f t="shared" si="3"/>
        <v>0</v>
      </c>
      <c r="L19" s="46">
        <f t="shared" si="4"/>
        <v>0</v>
      </c>
      <c r="N19" s="6"/>
    </row>
    <row r="20" spans="2:14" x14ac:dyDescent="0.45">
      <c r="B20" s="20" t="str">
        <f>+'County Data'!$B$36</f>
        <v>Gilliam, Sherman, Wasco</v>
      </c>
      <c r="C20" s="15">
        <f>VLOOKUP($B20,'County Data'!$B$10:$P$46,2,FALSE)</f>
        <v>31000</v>
      </c>
      <c r="D20" s="47">
        <v>545643</v>
      </c>
      <c r="E20" s="47">
        <f>VLOOKUP($B20,'County Data'!$B$10:$P$46,11,FALSE)</f>
        <v>772441</v>
      </c>
      <c r="F20" s="38">
        <f t="shared" si="5"/>
        <v>0.41565272531673642</v>
      </c>
      <c r="G20" s="75">
        <f>IF(F20&lt;0,0,$C$4*Input!$C$37/36*3)</f>
        <v>0</v>
      </c>
      <c r="H20" s="31">
        <f t="shared" si="0"/>
        <v>12885.23448481883</v>
      </c>
      <c r="I20" s="38">
        <f t="shared" si="1"/>
        <v>3.2260058062408433E-3</v>
      </c>
      <c r="J20" s="75">
        <f t="shared" si="2"/>
        <v>0</v>
      </c>
      <c r="K20" s="77">
        <f t="shared" si="3"/>
        <v>0</v>
      </c>
      <c r="L20" s="46">
        <f t="shared" si="4"/>
        <v>0</v>
      </c>
      <c r="N20" s="6"/>
    </row>
    <row r="21" spans="2:14" x14ac:dyDescent="0.45">
      <c r="B21" s="20" t="str">
        <f>+'County Data'!$B$32</f>
        <v>Malheur</v>
      </c>
      <c r="C21" s="15">
        <f>VLOOKUP($B21,'County Data'!$B$10:$P$46,2,FALSE)</f>
        <v>32030</v>
      </c>
      <c r="D21" s="47">
        <v>489035</v>
      </c>
      <c r="E21" s="47">
        <f>VLOOKUP($B21,'County Data'!$B$10:$P$46,11,FALSE)</f>
        <v>474185</v>
      </c>
      <c r="F21" s="38">
        <f t="shared" si="5"/>
        <v>-3.0365924729313851E-2</v>
      </c>
      <c r="G21" s="75">
        <f>IF(F21&lt;0,0,$C$4*Input!$C$37/36)</f>
        <v>0</v>
      </c>
      <c r="H21" s="31">
        <f t="shared" si="0"/>
        <v>0</v>
      </c>
      <c r="I21" s="38">
        <f t="shared" si="1"/>
        <v>0</v>
      </c>
      <c r="J21" s="75">
        <f t="shared" si="2"/>
        <v>0</v>
      </c>
      <c r="K21" s="77">
        <f t="shared" si="3"/>
        <v>0</v>
      </c>
      <c r="L21" s="46">
        <f t="shared" si="4"/>
        <v>0</v>
      </c>
      <c r="N21" s="160"/>
    </row>
    <row r="22" spans="2:14" x14ac:dyDescent="0.45">
      <c r="B22" s="20" t="str">
        <f>+'County Data'!$B$13</f>
        <v>Clatsop</v>
      </c>
      <c r="C22" s="15">
        <f>VLOOKUP($B22,'County Data'!$B$10:$P$46,2,FALSE)</f>
        <v>39330</v>
      </c>
      <c r="D22" s="47">
        <v>431075</v>
      </c>
      <c r="E22" s="47">
        <f>VLOOKUP($B22,'County Data'!$B$10:$P$46,11,FALSE)</f>
        <v>446000</v>
      </c>
      <c r="F22" s="38">
        <f t="shared" si="5"/>
        <v>3.4622745461926577E-2</v>
      </c>
      <c r="G22" s="75">
        <f>IF(F22&lt;0,0,$C$4*Input!$C$37/36)</f>
        <v>0</v>
      </c>
      <c r="H22" s="31">
        <f t="shared" si="0"/>
        <v>1361.7125790175724</v>
      </c>
      <c r="I22" s="38">
        <f t="shared" si="1"/>
        <v>3.4092454363306428E-4</v>
      </c>
      <c r="J22" s="75">
        <f t="shared" si="2"/>
        <v>0</v>
      </c>
      <c r="K22" s="77">
        <f t="shared" si="3"/>
        <v>0</v>
      </c>
      <c r="L22" s="46">
        <f t="shared" si="4"/>
        <v>0</v>
      </c>
      <c r="N22" s="6"/>
    </row>
    <row r="23" spans="2:14" x14ac:dyDescent="0.45">
      <c r="B23" s="20" t="str">
        <f>+'County Data'!$B$30</f>
        <v>Lincoln</v>
      </c>
      <c r="C23" s="15">
        <f>VLOOKUP($B23,'County Data'!$B$10:$P$46,2,FALSE)</f>
        <v>48260</v>
      </c>
      <c r="D23" s="47">
        <v>307500</v>
      </c>
      <c r="E23" s="47">
        <f>VLOOKUP($B23,'County Data'!$B$10:$P$46,11,FALSE)</f>
        <v>1458472</v>
      </c>
      <c r="F23" s="38">
        <f t="shared" si="5"/>
        <v>3.74299837398374</v>
      </c>
      <c r="G23" s="75">
        <f>IF(F23&lt;0,0,$C$4*Input!$C$37/36)</f>
        <v>0</v>
      </c>
      <c r="H23" s="31">
        <f t="shared" si="0"/>
        <v>180637.1015284553</v>
      </c>
      <c r="I23" s="38">
        <f t="shared" si="1"/>
        <v>4.5225124854334921E-2</v>
      </c>
      <c r="J23" s="75">
        <f t="shared" si="2"/>
        <v>0</v>
      </c>
      <c r="K23" s="77">
        <f t="shared" si="3"/>
        <v>0</v>
      </c>
      <c r="L23" s="46">
        <f t="shared" si="4"/>
        <v>0</v>
      </c>
      <c r="N23" s="6"/>
    </row>
    <row r="24" spans="2:14" x14ac:dyDescent="0.45">
      <c r="B24" s="20" t="str">
        <f>+'County Data'!$B$14</f>
        <v>Columbia</v>
      </c>
      <c r="C24" s="15">
        <f>VLOOKUP($B24,'County Data'!$B$10:$P$46,2,FALSE)</f>
        <v>52750</v>
      </c>
      <c r="D24" s="47">
        <v>144489</v>
      </c>
      <c r="E24" s="47">
        <f>VLOOKUP($B24,'County Data'!$B$10:$P$46,11,FALSE)</f>
        <v>615328</v>
      </c>
      <c r="F24" s="38">
        <f t="shared" si="5"/>
        <v>3.258649447362775</v>
      </c>
      <c r="G24" s="75">
        <f>IF(F24&lt;0,0,$C$4*Input!$C$37/36)</f>
        <v>0</v>
      </c>
      <c r="H24" s="31">
        <f t="shared" si="0"/>
        <v>171893.75834838639</v>
      </c>
      <c r="I24" s="38">
        <f t="shared" si="1"/>
        <v>4.3036101759870438E-2</v>
      </c>
      <c r="J24" s="75">
        <f t="shared" si="2"/>
        <v>0</v>
      </c>
      <c r="K24" s="77">
        <f t="shared" si="3"/>
        <v>0</v>
      </c>
      <c r="L24" s="46">
        <f t="shared" si="4"/>
        <v>0</v>
      </c>
      <c r="N24" s="6"/>
    </row>
    <row r="25" spans="2:14" x14ac:dyDescent="0.45">
      <c r="B25" s="20" t="str">
        <f>+'County Data'!$B$15</f>
        <v>Coos</v>
      </c>
      <c r="C25" s="15">
        <f>VLOOKUP($B25,'County Data'!$B$10:$P$46,2,FALSE)</f>
        <v>63290</v>
      </c>
      <c r="D25" s="47">
        <v>52178</v>
      </c>
      <c r="E25" s="47">
        <f>VLOOKUP($B25,'County Data'!$B$10:$P$46,11,FALSE)</f>
        <v>332653</v>
      </c>
      <c r="F25" s="38">
        <f t="shared" si="5"/>
        <v>5.3753497642684653</v>
      </c>
      <c r="G25" s="75">
        <f>IF(F25&lt;0,0,$C$4*Input!$C$37/36)</f>
        <v>0</v>
      </c>
      <c r="H25" s="31">
        <f t="shared" si="0"/>
        <v>340205.88658055116</v>
      </c>
      <c r="I25" s="38">
        <f t="shared" si="1"/>
        <v>8.5175490342782309E-2</v>
      </c>
      <c r="J25" s="75">
        <f t="shared" si="2"/>
        <v>0</v>
      </c>
      <c r="K25" s="77">
        <f t="shared" si="3"/>
        <v>0</v>
      </c>
      <c r="L25" s="46">
        <f t="shared" si="4"/>
        <v>0</v>
      </c>
      <c r="N25" s="6"/>
    </row>
    <row r="26" spans="2:14" x14ac:dyDescent="0.45">
      <c r="B26" s="20" t="str">
        <f>+'County Data'!$B$27</f>
        <v>Klamath</v>
      </c>
      <c r="C26" s="15">
        <f>VLOOKUP($B26,'County Data'!$B$10:$P$46,2,FALSE)</f>
        <v>68190</v>
      </c>
      <c r="D26" s="47">
        <v>232280</v>
      </c>
      <c r="E26" s="47">
        <f>VLOOKUP($B26,'County Data'!$B$10:$P$46,11,FALSE)</f>
        <v>542426</v>
      </c>
      <c r="F26" s="38">
        <f t="shared" si="5"/>
        <v>1.3352247287756156</v>
      </c>
      <c r="G26" s="75">
        <f>IF(F26&lt;0,0,$C$4*Input!$C$37/36)</f>
        <v>0</v>
      </c>
      <c r="H26" s="31">
        <f t="shared" si="0"/>
        <v>91048.974255209221</v>
      </c>
      <c r="I26" s="38">
        <f t="shared" si="1"/>
        <v>2.2795434568586188E-2</v>
      </c>
      <c r="J26" s="75">
        <f t="shared" si="2"/>
        <v>0</v>
      </c>
      <c r="K26" s="77">
        <f t="shared" si="3"/>
        <v>0</v>
      </c>
      <c r="L26" s="46">
        <f t="shared" si="4"/>
        <v>0</v>
      </c>
      <c r="N26" s="6"/>
    </row>
    <row r="27" spans="2:14" x14ac:dyDescent="0.45">
      <c r="B27" s="20" t="str">
        <f>+'County Data'!$B$40</f>
        <v>Umatilla</v>
      </c>
      <c r="C27" s="15">
        <f>VLOOKUP($B27,'County Data'!$B$10:$P$46,2,FALSE)</f>
        <v>81160</v>
      </c>
      <c r="D27" s="47">
        <v>386278</v>
      </c>
      <c r="E27" s="47">
        <f>VLOOKUP($B27,'County Data'!$B$10:$P$46,11,FALSE)</f>
        <v>532317</v>
      </c>
      <c r="F27" s="38">
        <f t="shared" si="5"/>
        <v>0.37806709157653295</v>
      </c>
      <c r="G27" s="75">
        <f>IF(F27&lt;0,0,$C$4*Input!$C$37/36)</f>
        <v>0</v>
      </c>
      <c r="H27" s="31">
        <f t="shared" si="0"/>
        <v>30683.925152351414</v>
      </c>
      <c r="I27" s="38">
        <f t="shared" si="1"/>
        <v>7.6821668101088418E-3</v>
      </c>
      <c r="J27" s="75">
        <f t="shared" si="2"/>
        <v>0</v>
      </c>
      <c r="K27" s="77">
        <f t="shared" si="3"/>
        <v>0</v>
      </c>
      <c r="L27" s="46">
        <f t="shared" si="4"/>
        <v>0</v>
      </c>
      <c r="N27" s="6"/>
    </row>
    <row r="28" spans="2:14" x14ac:dyDescent="0.45">
      <c r="B28" s="20" t="str">
        <f>+'County Data'!$B$37</f>
        <v>Polk</v>
      </c>
      <c r="C28" s="15">
        <f>VLOOKUP($B28,'County Data'!$B$10:$P$46,2,FALSE)</f>
        <v>82940</v>
      </c>
      <c r="D28" s="47">
        <v>251759</v>
      </c>
      <c r="E28" s="47">
        <f>VLOOKUP($B28,'County Data'!$B$10:$P$46,11,FALSE)</f>
        <v>291010</v>
      </c>
      <c r="F28" s="38">
        <f t="shared" si="5"/>
        <v>0.15590703808006864</v>
      </c>
      <c r="G28" s="75">
        <f>IF(F28&lt;0,0,$C$4*Input!$C$37/36)</f>
        <v>0</v>
      </c>
      <c r="H28" s="31">
        <f t="shared" si="0"/>
        <v>12930.929738360894</v>
      </c>
      <c r="I28" s="38">
        <f t="shared" si="1"/>
        <v>3.237446277379962E-3</v>
      </c>
      <c r="J28" s="75">
        <f t="shared" si="2"/>
        <v>0</v>
      </c>
      <c r="K28" s="77">
        <f t="shared" si="3"/>
        <v>0</v>
      </c>
      <c r="L28" s="46">
        <f t="shared" si="4"/>
        <v>0</v>
      </c>
      <c r="N28" s="6"/>
    </row>
    <row r="29" spans="2:14" x14ac:dyDescent="0.45">
      <c r="B29" s="20" t="str">
        <f>+'County Data'!$B$26</f>
        <v>Josephine</v>
      </c>
      <c r="C29" s="15">
        <f>VLOOKUP($B29,'County Data'!$B$10:$P$46,2,FALSE)</f>
        <v>86750</v>
      </c>
      <c r="D29" s="47">
        <v>364715</v>
      </c>
      <c r="E29" s="47">
        <f>VLOOKUP($B29,'County Data'!$B$10:$P$46,11,FALSE)</f>
        <v>657998</v>
      </c>
      <c r="F29" s="38">
        <f t="shared" si="5"/>
        <v>0.80414296094210547</v>
      </c>
      <c r="G29" s="75">
        <f>IF(F29&lt;0,0,$C$4*Input!$C$37/36)</f>
        <v>0</v>
      </c>
      <c r="H29" s="31">
        <f t="shared" si="0"/>
        <v>69759.401861727645</v>
      </c>
      <c r="I29" s="38">
        <f t="shared" si="1"/>
        <v>1.7465280566757637E-2</v>
      </c>
      <c r="J29" s="75">
        <f t="shared" si="2"/>
        <v>0</v>
      </c>
      <c r="K29" s="77">
        <f t="shared" si="3"/>
        <v>0</v>
      </c>
      <c r="L29" s="46">
        <f t="shared" si="4"/>
        <v>0</v>
      </c>
      <c r="N29" s="6"/>
    </row>
    <row r="30" spans="2:14" x14ac:dyDescent="0.45">
      <c r="B30" s="20" t="str">
        <f>+'County Data'!$B$11</f>
        <v>Benton</v>
      </c>
      <c r="C30" s="15">
        <f>VLOOKUP($B30,'County Data'!$B$10:$P$46,2,FALSE)</f>
        <v>94360</v>
      </c>
      <c r="D30" s="47">
        <v>2090815</v>
      </c>
      <c r="E30" s="47">
        <f>VLOOKUP($B30,'County Data'!$B$10:$P$46,11,FALSE)</f>
        <v>1791995</v>
      </c>
      <c r="F30" s="38">
        <f t="shared" si="5"/>
        <v>-0.14292034445897892</v>
      </c>
      <c r="G30" s="75">
        <f>IF(F30&lt;0,0,$C$4*Input!$C$37/36)</f>
        <v>0</v>
      </c>
      <c r="H30" s="31">
        <f t="shared" si="0"/>
        <v>0</v>
      </c>
      <c r="I30" s="38">
        <f t="shared" si="1"/>
        <v>0</v>
      </c>
      <c r="J30" s="75">
        <f t="shared" si="2"/>
        <v>0</v>
      </c>
      <c r="K30" s="77">
        <f t="shared" si="3"/>
        <v>0</v>
      </c>
      <c r="L30" s="46">
        <f t="shared" si="4"/>
        <v>0</v>
      </c>
      <c r="N30" s="160"/>
    </row>
    <row r="31" spans="2:14" x14ac:dyDescent="0.45">
      <c r="B31" s="20" t="str">
        <f>+'County Data'!$B$46</f>
        <v>Yamhill</v>
      </c>
      <c r="C31" s="15">
        <f>VLOOKUP($B31,'County Data'!$B$10:$P$46,2,FALSE)</f>
        <v>108060</v>
      </c>
      <c r="D31" s="47">
        <v>650791</v>
      </c>
      <c r="E31" s="47">
        <f>VLOOKUP($B31,'County Data'!$B$10:$P$46,11,FALSE)</f>
        <v>1553242</v>
      </c>
      <c r="F31" s="38">
        <f t="shared" si="5"/>
        <v>1.3866986482603478</v>
      </c>
      <c r="G31" s="75">
        <f>IF(F31&lt;0,0,$C$4*Input!$C$37/36)</f>
        <v>0</v>
      </c>
      <c r="H31" s="31">
        <f t="shared" si="0"/>
        <v>149846.6559310132</v>
      </c>
      <c r="I31" s="38">
        <f t="shared" si="1"/>
        <v>3.7516289101976658E-2</v>
      </c>
      <c r="J31" s="75">
        <f t="shared" si="2"/>
        <v>0</v>
      </c>
      <c r="K31" s="77">
        <f t="shared" si="3"/>
        <v>0</v>
      </c>
      <c r="L31" s="46">
        <f t="shared" si="4"/>
        <v>0</v>
      </c>
      <c r="N31" s="6"/>
    </row>
    <row r="32" spans="2:14" x14ac:dyDescent="0.45">
      <c r="B32" s="20" t="str">
        <f>+'County Data'!$B$19</f>
        <v>Douglas</v>
      </c>
      <c r="C32" s="15">
        <f>VLOOKUP($B32,'County Data'!$B$10:$P$46,2,FALSE)</f>
        <v>112250</v>
      </c>
      <c r="D32" s="47">
        <v>671902</v>
      </c>
      <c r="E32" s="47">
        <f>VLOOKUP($B32,'County Data'!$B$10:$P$46,11,FALSE)</f>
        <v>444652</v>
      </c>
      <c r="F32" s="38">
        <f t="shared" si="5"/>
        <v>-0.33821896645641775</v>
      </c>
      <c r="G32" s="75">
        <f>IF(F32&lt;0,0,$C$4*Input!$C$37/36)</f>
        <v>0</v>
      </c>
      <c r="H32" s="31">
        <f t="shared" si="0"/>
        <v>0</v>
      </c>
      <c r="I32" s="38">
        <f t="shared" si="1"/>
        <v>0</v>
      </c>
      <c r="J32" s="75">
        <f t="shared" si="2"/>
        <v>0</v>
      </c>
      <c r="K32" s="77">
        <f t="shared" si="3"/>
        <v>0</v>
      </c>
      <c r="L32" s="46">
        <f t="shared" si="4"/>
        <v>0</v>
      </c>
      <c r="N32" s="160"/>
    </row>
    <row r="33" spans="2:14" x14ac:dyDescent="0.45">
      <c r="B33" s="20" t="str">
        <f>+'County Data'!$B$31</f>
        <v>Linn</v>
      </c>
      <c r="C33" s="15">
        <f>VLOOKUP($B33,'County Data'!$B$10:$P$46,2,FALSE)</f>
        <v>126550</v>
      </c>
      <c r="D33" s="47">
        <v>651346</v>
      </c>
      <c r="E33" s="47">
        <f>VLOOKUP($B33,'County Data'!$B$10:$P$46,11,FALSE)</f>
        <v>1327242</v>
      </c>
      <c r="F33" s="38">
        <f t="shared" si="5"/>
        <v>1.0376911810312799</v>
      </c>
      <c r="G33" s="75">
        <f>IF(F33&lt;0,0,$C$4*Input!$C$37/36)</f>
        <v>0</v>
      </c>
      <c r="H33" s="31">
        <f t="shared" si="0"/>
        <v>131319.81895950847</v>
      </c>
      <c r="I33" s="38">
        <f t="shared" si="1"/>
        <v>3.2877826083568332E-2</v>
      </c>
      <c r="J33" s="75">
        <f t="shared" si="2"/>
        <v>0</v>
      </c>
      <c r="K33" s="77">
        <f t="shared" si="3"/>
        <v>0</v>
      </c>
      <c r="L33" s="46">
        <f t="shared" si="4"/>
        <v>0</v>
      </c>
      <c r="N33" s="6"/>
    </row>
    <row r="34" spans="2:14" x14ac:dyDescent="0.45">
      <c r="B34" s="20" t="str">
        <f>+'County Data'!$B$18</f>
        <v>Deschutes</v>
      </c>
      <c r="C34" s="15">
        <f>VLOOKUP($B34,'County Data'!$B$10:$P$46,2,FALSE)</f>
        <v>193000</v>
      </c>
      <c r="D34" s="47">
        <v>2968217</v>
      </c>
      <c r="E34" s="47">
        <f>VLOOKUP($B34,'County Data'!$B$10:$P$46,11,FALSE)</f>
        <v>3814900</v>
      </c>
      <c r="F34" s="38">
        <f t="shared" si="5"/>
        <v>0.28524969704034442</v>
      </c>
      <c r="G34" s="75">
        <f>IF(F34&lt;0,0,$C$4*Input!$C$37/36)</f>
        <v>0</v>
      </c>
      <c r="H34" s="31">
        <f t="shared" si="0"/>
        <v>55053.191528786476</v>
      </c>
      <c r="I34" s="38">
        <f t="shared" si="1"/>
        <v>1.3783366979716358E-2</v>
      </c>
      <c r="J34" s="75">
        <f t="shared" si="2"/>
        <v>0</v>
      </c>
      <c r="K34" s="77">
        <f t="shared" si="3"/>
        <v>0</v>
      </c>
      <c r="L34" s="46">
        <f t="shared" si="4"/>
        <v>0</v>
      </c>
      <c r="N34" s="6"/>
    </row>
    <row r="35" spans="2:14" x14ac:dyDescent="0.45">
      <c r="B35" s="20" t="str">
        <f>+'County Data'!$B$24</f>
        <v>Jackson</v>
      </c>
      <c r="C35" s="15">
        <f>VLOOKUP($B35,'County Data'!$B$10:$P$46,2,FALSE)</f>
        <v>221290</v>
      </c>
      <c r="D35" s="47">
        <v>670465</v>
      </c>
      <c r="E35" s="47">
        <f>VLOOKUP($B35,'County Data'!$B$10:$P$46,11,FALSE)</f>
        <v>2298330</v>
      </c>
      <c r="F35" s="38">
        <f t="shared" si="5"/>
        <v>2.4279641741179629</v>
      </c>
      <c r="G35" s="75">
        <f>IF(F35&lt;0,0,$C$4*Input!$C$37/36)</f>
        <v>0</v>
      </c>
      <c r="H35" s="31">
        <f t="shared" si="0"/>
        <v>537284.19209056406</v>
      </c>
      <c r="I35" s="38">
        <f t="shared" si="1"/>
        <v>0.1345169096711204</v>
      </c>
      <c r="J35" s="75">
        <f t="shared" si="2"/>
        <v>0</v>
      </c>
      <c r="K35" s="77">
        <f t="shared" si="3"/>
        <v>0</v>
      </c>
      <c r="L35" s="46">
        <f t="shared" si="4"/>
        <v>0</v>
      </c>
      <c r="N35" s="6"/>
    </row>
    <row r="36" spans="2:14" x14ac:dyDescent="0.45">
      <c r="B36" s="20" t="str">
        <f>+'County Data'!$B$33</f>
        <v>Marion</v>
      </c>
      <c r="C36" s="15">
        <f>VLOOKUP($B36,'County Data'!$B$10:$P$46,2,FALSE)</f>
        <v>347760</v>
      </c>
      <c r="D36" s="47">
        <v>2152253</v>
      </c>
      <c r="E36" s="47">
        <f>VLOOKUP($B36,'County Data'!$B$10:$P$46,11,FALSE)</f>
        <v>4647307</v>
      </c>
      <c r="F36" s="38">
        <f t="shared" si="5"/>
        <v>1.1592754197578072</v>
      </c>
      <c r="G36" s="75">
        <f>IF(F36&lt;0,0,$C$4*Input!$C$37/36)</f>
        <v>0</v>
      </c>
      <c r="H36" s="31">
        <f t="shared" si="0"/>
        <v>403149.61997497507</v>
      </c>
      <c r="I36" s="38">
        <f t="shared" si="1"/>
        <v>0.10093436920805444</v>
      </c>
      <c r="J36" s="75">
        <f t="shared" si="2"/>
        <v>0</v>
      </c>
      <c r="K36" s="77">
        <f t="shared" si="3"/>
        <v>0</v>
      </c>
      <c r="L36" s="46">
        <f t="shared" si="4"/>
        <v>0</v>
      </c>
      <c r="N36" s="6"/>
    </row>
    <row r="37" spans="2:14" x14ac:dyDescent="0.45">
      <c r="B37" s="20" t="str">
        <f>+'County Data'!$B$29</f>
        <v>Lane</v>
      </c>
      <c r="C37" s="15">
        <f>VLOOKUP($B37,'County Data'!$B$10:$P$46,2,FALSE)</f>
        <v>378880</v>
      </c>
      <c r="D37" s="47">
        <v>1716536</v>
      </c>
      <c r="E37" s="47">
        <f>VLOOKUP($B37,'County Data'!$B$10:$P$46,11,FALSE)</f>
        <v>4024080</v>
      </c>
      <c r="F37" s="38">
        <f t="shared" si="5"/>
        <v>1.3443027119734163</v>
      </c>
      <c r="G37" s="75">
        <f>IF(F37&lt;0,0,$C$4*Input!$C$37/36)</f>
        <v>0</v>
      </c>
      <c r="H37" s="31">
        <f t="shared" si="0"/>
        <v>509329.41151248798</v>
      </c>
      <c r="I37" s="38">
        <f t="shared" si="1"/>
        <v>0.12751802388729447</v>
      </c>
      <c r="J37" s="75">
        <f t="shared" si="2"/>
        <v>0</v>
      </c>
      <c r="K37" s="77">
        <f t="shared" si="3"/>
        <v>0</v>
      </c>
      <c r="L37" s="46">
        <f t="shared" si="4"/>
        <v>0</v>
      </c>
      <c r="N37" s="6"/>
    </row>
    <row r="38" spans="2:14" x14ac:dyDescent="0.45">
      <c r="B38" s="20" t="str">
        <f>+'County Data'!$B$12</f>
        <v>Clackamas</v>
      </c>
      <c r="C38" s="15">
        <f>VLOOKUP($B38,'County Data'!$B$10:$P$46,2,FALSE)</f>
        <v>423420</v>
      </c>
      <c r="D38" s="47">
        <v>1965745</v>
      </c>
      <c r="E38" s="47">
        <f>VLOOKUP($B38,'County Data'!$B$10:$P$46,11,FALSE)</f>
        <v>5019520</v>
      </c>
      <c r="F38" s="38">
        <f t="shared" si="5"/>
        <v>1.5534949853617839</v>
      </c>
      <c r="G38" s="75">
        <f>IF(F38&lt;0,0,$C$4*Input!$C$37/36)</f>
        <v>0</v>
      </c>
      <c r="H38" s="31">
        <f t="shared" si="0"/>
        <v>657780.8467018865</v>
      </c>
      <c r="I38" s="38">
        <f t="shared" si="1"/>
        <v>0.16468499918991888</v>
      </c>
      <c r="J38" s="75">
        <f t="shared" si="2"/>
        <v>0</v>
      </c>
      <c r="K38" s="77">
        <f t="shared" si="3"/>
        <v>0</v>
      </c>
      <c r="L38" s="46">
        <f t="shared" si="4"/>
        <v>0</v>
      </c>
      <c r="N38" s="6"/>
    </row>
    <row r="39" spans="2:14" x14ac:dyDescent="0.45">
      <c r="B39" s="20" t="str">
        <f>+'County Data'!$B$44</f>
        <v>Washington</v>
      </c>
      <c r="C39" s="15">
        <f>VLOOKUP($B39,'County Data'!$B$10:$P$46,2,FALSE)</f>
        <v>613410</v>
      </c>
      <c r="D39" s="47">
        <v>4800731</v>
      </c>
      <c r="E39" s="47">
        <f>VLOOKUP($B39,'County Data'!$B$10:$P$46,11,FALSE)</f>
        <v>8674852</v>
      </c>
      <c r="F39" s="38">
        <f t="shared" si="5"/>
        <v>0.806985644477893</v>
      </c>
      <c r="G39" s="75">
        <f>IF(F39&lt;0,0,$C$4*Input!$C$37/36)</f>
        <v>0</v>
      </c>
      <c r="H39" s="31">
        <f t="shared" si="0"/>
        <v>495013.06417918432</v>
      </c>
      <c r="I39" s="38">
        <f t="shared" si="1"/>
        <v>0.12393371817087059</v>
      </c>
      <c r="J39" s="75">
        <f t="shared" si="2"/>
        <v>0</v>
      </c>
      <c r="K39" s="77">
        <f t="shared" si="3"/>
        <v>0</v>
      </c>
      <c r="L39" s="46">
        <f t="shared" si="4"/>
        <v>0</v>
      </c>
      <c r="N39" s="6"/>
    </row>
    <row r="40" spans="2:14" x14ac:dyDescent="0.45">
      <c r="B40" s="20" t="str">
        <f>+'County Data'!$B$35</f>
        <v>Multnomah</v>
      </c>
      <c r="C40" s="15">
        <f>VLOOKUP($B40,'County Data'!$B$10:$P$46,2,FALSE)</f>
        <v>821730</v>
      </c>
      <c r="D40" s="47">
        <v>43542723</v>
      </c>
      <c r="E40" s="47">
        <f>VLOOKUP($B40,'County Data'!$B$10:$P$46,11,FALSE)</f>
        <v>25329190</v>
      </c>
      <c r="F40" s="38">
        <f t="shared" si="5"/>
        <v>-0.41829108850174573</v>
      </c>
      <c r="G40" s="75">
        <f>IF(F40&lt;0,0,$C$4*Input!$C$37/36)</f>
        <v>0</v>
      </c>
      <c r="H40" s="31">
        <f t="shared" si="0"/>
        <v>0</v>
      </c>
      <c r="I40" s="38">
        <f t="shared" si="1"/>
        <v>0</v>
      </c>
      <c r="J40" s="75">
        <f t="shared" si="2"/>
        <v>0</v>
      </c>
      <c r="K40" s="77">
        <f t="shared" si="3"/>
        <v>0</v>
      </c>
      <c r="L40" s="46">
        <f t="shared" si="4"/>
        <v>0</v>
      </c>
      <c r="N40" s="160"/>
    </row>
    <row r="41" spans="2:14" x14ac:dyDescent="0.45">
      <c r="B41" s="4" t="s">
        <v>2</v>
      </c>
      <c r="C41" s="5">
        <f>SUM(C7:C40)</f>
        <v>4236400</v>
      </c>
      <c r="D41" s="74">
        <f>SUM(D7:D40)</f>
        <v>68747850</v>
      </c>
      <c r="E41" s="74">
        <f>SUM(E7:E40)</f>
        <v>70042552</v>
      </c>
      <c r="F41" s="21">
        <f t="shared" si="5"/>
        <v>1.8832618038236833E-2</v>
      </c>
      <c r="G41" s="74">
        <f>SUM(G7:G40)</f>
        <v>0</v>
      </c>
      <c r="H41" s="5">
        <f>SUM(H7:H40)</f>
        <v>3994175.8504872508</v>
      </c>
      <c r="I41" s="21">
        <f>SUM(I7:I40)</f>
        <v>1</v>
      </c>
      <c r="J41" s="74">
        <f>SUM(J7:J40)</f>
        <v>0</v>
      </c>
      <c r="K41" s="74">
        <f>SUM(K7:K40)</f>
        <v>0</v>
      </c>
      <c r="L41" s="73">
        <f>K41/C41</f>
        <v>0</v>
      </c>
    </row>
  </sheetData>
  <sortState xmlns:xlrd2="http://schemas.microsoft.com/office/spreadsheetml/2017/richdata2" ref="B7:H40">
    <sortCondition ref="C7:C40"/>
  </sortState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2:Y42"/>
  <sheetViews>
    <sheetView workbookViewId="0"/>
  </sheetViews>
  <sheetFormatPr defaultRowHeight="14.25" x14ac:dyDescent="0.45"/>
  <cols>
    <col min="2" max="2" width="17.3984375" bestFit="1" customWidth="1"/>
    <col min="3" max="3" width="11.86328125" bestFit="1" customWidth="1"/>
    <col min="4" max="4" width="5.73046875" bestFit="1" customWidth="1"/>
    <col min="5" max="5" width="11.59765625" bestFit="1" customWidth="1"/>
    <col min="6" max="6" width="10.73046875" bestFit="1" customWidth="1"/>
    <col min="7" max="7" width="11.59765625" bestFit="1" customWidth="1"/>
    <col min="8" max="8" width="10" bestFit="1" customWidth="1"/>
    <col min="9" max="10" width="9.1328125" hidden="1" customWidth="1"/>
    <col min="11" max="12" width="10.73046875" hidden="1" customWidth="1"/>
    <col min="13" max="15" width="9.1328125" hidden="1" customWidth="1"/>
    <col min="16" max="17" width="10.73046875" hidden="1" customWidth="1"/>
    <col min="18" max="20" width="9.1328125" hidden="1" customWidth="1"/>
    <col min="21" max="22" width="10.73046875" hidden="1" customWidth="1"/>
    <col min="23" max="23" width="9.1328125" hidden="1" customWidth="1"/>
    <col min="24" max="24" width="11.1328125" bestFit="1" customWidth="1"/>
    <col min="25" max="25" width="10.59765625" bestFit="1" customWidth="1"/>
  </cols>
  <sheetData>
    <row r="2" spans="2:25" x14ac:dyDescent="0.45">
      <c r="B2" t="s">
        <v>0</v>
      </c>
      <c r="C2" s="1">
        <f>'County Data'!C5</f>
        <v>17000000</v>
      </c>
    </row>
    <row r="3" spans="2:25" x14ac:dyDescent="0.45">
      <c r="B3" t="s">
        <v>41</v>
      </c>
      <c r="C3" s="14">
        <f>$C$2*Input!$C$39</f>
        <v>0</v>
      </c>
    </row>
    <row r="4" spans="2:25" x14ac:dyDescent="0.45">
      <c r="D4" s="22"/>
      <c r="E4" s="72">
        <f>Input!$D$42</f>
        <v>1</v>
      </c>
      <c r="J4" s="72">
        <f>Input!$D$43</f>
        <v>0</v>
      </c>
      <c r="O4" s="72">
        <f>Input!$D$44</f>
        <v>0</v>
      </c>
      <c r="T4" s="72">
        <f>Input!$D$45</f>
        <v>0</v>
      </c>
    </row>
    <row r="5" spans="2:25" x14ac:dyDescent="0.45">
      <c r="D5" s="220" t="s">
        <v>95</v>
      </c>
      <c r="E5" s="220"/>
      <c r="F5" s="220"/>
      <c r="G5" s="220"/>
      <c r="H5" s="220"/>
      <c r="I5" s="221" t="s">
        <v>99</v>
      </c>
      <c r="J5" s="221"/>
      <c r="K5" s="221"/>
      <c r="L5" s="221"/>
      <c r="M5" s="221"/>
      <c r="N5" s="220" t="s">
        <v>100</v>
      </c>
      <c r="O5" s="220"/>
      <c r="P5" s="220"/>
      <c r="Q5" s="220"/>
      <c r="R5" s="220"/>
      <c r="S5" s="221" t="s">
        <v>101</v>
      </c>
      <c r="T5" s="221"/>
      <c r="U5" s="221"/>
      <c r="V5" s="221"/>
      <c r="W5" s="221"/>
    </row>
    <row r="6" spans="2:25" s="2" customFormat="1" ht="28.5" x14ac:dyDescent="0.45">
      <c r="B6" s="3" t="s">
        <v>7</v>
      </c>
      <c r="C6" s="3" t="s">
        <v>1</v>
      </c>
      <c r="D6" s="3" t="s">
        <v>96</v>
      </c>
      <c r="E6" s="3" t="s">
        <v>97</v>
      </c>
      <c r="F6" s="3" t="s">
        <v>106</v>
      </c>
      <c r="G6" s="3" t="s">
        <v>107</v>
      </c>
      <c r="H6" s="3" t="s">
        <v>98</v>
      </c>
      <c r="I6" s="3" t="s">
        <v>96</v>
      </c>
      <c r="J6" s="3" t="s">
        <v>97</v>
      </c>
      <c r="K6" s="3" t="s">
        <v>106</v>
      </c>
      <c r="L6" s="3" t="s">
        <v>107</v>
      </c>
      <c r="M6" s="3" t="s">
        <v>98</v>
      </c>
      <c r="N6" s="3" t="s">
        <v>96</v>
      </c>
      <c r="O6" s="3" t="s">
        <v>97</v>
      </c>
      <c r="P6" s="3" t="s">
        <v>106</v>
      </c>
      <c r="Q6" s="3" t="s">
        <v>107</v>
      </c>
      <c r="R6" s="3" t="s">
        <v>98</v>
      </c>
      <c r="S6" s="3" t="s">
        <v>96</v>
      </c>
      <c r="T6" s="3" t="s">
        <v>97</v>
      </c>
      <c r="U6" s="3" t="s">
        <v>106</v>
      </c>
      <c r="V6" s="3" t="s">
        <v>107</v>
      </c>
      <c r="W6" s="3" t="s">
        <v>98</v>
      </c>
      <c r="X6" s="13" t="s">
        <v>108</v>
      </c>
      <c r="Y6" s="3" t="s">
        <v>109</v>
      </c>
    </row>
    <row r="7" spans="2:25" x14ac:dyDescent="0.45">
      <c r="B7" s="20" t="str">
        <f>'County Data'!$B$45</f>
        <v>Wheeler</v>
      </c>
      <c r="C7" s="15">
        <f>VLOOKUP($B7,'County Data'!$B$10:$P$46,2,FALSE)</f>
        <v>1440</v>
      </c>
      <c r="D7" s="26" t="str">
        <f>VLOOKUP($B7,'County Data'!$B$9:$P$46,12,FALSE)</f>
        <v>Y</v>
      </c>
      <c r="E7" s="75">
        <f>IF(D7="Y",$C$3*Input!$C$40/36*E$4,0)</f>
        <v>0</v>
      </c>
      <c r="F7" s="15">
        <f>IF(D7="Y",$C7,0)</f>
        <v>1440</v>
      </c>
      <c r="G7" s="75">
        <f>ROUND(($C$3*E$4-E$41)*(F7/F$41),2)</f>
        <v>0</v>
      </c>
      <c r="H7" s="76">
        <f>E7+G7</f>
        <v>0</v>
      </c>
      <c r="I7" s="26">
        <f>VLOOKUP($B7,'County Data'!$B$9:$P$46,13,FALSE)</f>
        <v>0</v>
      </c>
      <c r="J7" s="47">
        <f>IF(I7="Y",$C$3*Input!$C$40/36*J$4,0)</f>
        <v>0</v>
      </c>
      <c r="K7" s="15">
        <f>IF(I7="Y",$C7,0)</f>
        <v>0</v>
      </c>
      <c r="L7" s="75">
        <f>ROUND(($C$3*J$4-J$41)*(K7/K$41),2)</f>
        <v>0</v>
      </c>
      <c r="M7" s="76">
        <f>J7+L7</f>
        <v>0</v>
      </c>
      <c r="N7" s="26">
        <f>VLOOKUP($B7,'County Data'!$B$9:$P$46,14,FALSE)</f>
        <v>0</v>
      </c>
      <c r="O7" s="47">
        <f>IF(N7="Y",$C$3*Input!$C$40/36*O$4,0)</f>
        <v>0</v>
      </c>
      <c r="P7" s="15">
        <f>IF(N7="Y",$C7,0)</f>
        <v>0</v>
      </c>
      <c r="Q7" s="75">
        <f>ROUND(($C$3*O$4-O$41)*(P7/P$41),2)</f>
        <v>0</v>
      </c>
      <c r="R7" s="76">
        <f>O7+Q7</f>
        <v>0</v>
      </c>
      <c r="S7" s="26">
        <f>VLOOKUP($B7,'County Data'!$B$9:$P$46,15,FALSE)</f>
        <v>0</v>
      </c>
      <c r="T7" s="47">
        <f>IF(S7="Y",$C$3*Input!$C$40/36*T$4,0)</f>
        <v>0</v>
      </c>
      <c r="U7" s="15">
        <f>IF(S7="Y",$C7,0)</f>
        <v>0</v>
      </c>
      <c r="V7" s="75">
        <f>ROUND(($C$3*T$4-T$41)*(U7/U$41),2)</f>
        <v>0</v>
      </c>
      <c r="W7" s="76">
        <f>T7+V7</f>
        <v>0</v>
      </c>
      <c r="X7" s="77">
        <f>H7+M7+R7+W7</f>
        <v>0</v>
      </c>
      <c r="Y7" s="46">
        <f>X7/C7</f>
        <v>0</v>
      </c>
    </row>
    <row r="8" spans="2:25" x14ac:dyDescent="0.45">
      <c r="B8" s="20" t="str">
        <f>+'County Data'!$B$42</f>
        <v>Wallowa</v>
      </c>
      <c r="C8" s="15">
        <f>VLOOKUP($B8,'County Data'!$B$10:$P$46,2,FALSE)</f>
        <v>7150</v>
      </c>
      <c r="D8" s="26" t="str">
        <f>VLOOKUP($B8,'County Data'!$B$9:$P$46,12,FALSE)</f>
        <v>Y</v>
      </c>
      <c r="E8" s="75">
        <f>IF(D8="Y",$C$3*Input!$C$40/36*E$4,0)</f>
        <v>0</v>
      </c>
      <c r="F8" s="15">
        <f t="shared" ref="F8:F40" si="0">IF(D8="Y",$C8,0)</f>
        <v>7150</v>
      </c>
      <c r="G8" s="75">
        <f t="shared" ref="G8:G40" si="1">ROUND(($C$3*E$4-E$41)*(F8/F$41),2)</f>
        <v>0</v>
      </c>
      <c r="H8" s="76">
        <f t="shared" ref="H8:H40" si="2">E8+G8</f>
        <v>0</v>
      </c>
      <c r="I8" s="26">
        <f>VLOOKUP($B8,'County Data'!$B$9:$P$46,13,FALSE)</f>
        <v>0</v>
      </c>
      <c r="J8" s="47">
        <f>IF(I8="Y",$C$3*Input!$C$40/36*J$4,0)</f>
        <v>0</v>
      </c>
      <c r="K8" s="15">
        <f t="shared" ref="K8:K40" si="3">IF(I8="Y",$C8,0)</f>
        <v>0</v>
      </c>
      <c r="L8" s="75">
        <f t="shared" ref="L8:L40" si="4">ROUND(($C$3*J$4-J$41)*(K8/K$41),2)</f>
        <v>0</v>
      </c>
      <c r="M8" s="76">
        <f t="shared" ref="M8:M40" si="5">J8+L8</f>
        <v>0</v>
      </c>
      <c r="N8" s="26">
        <f>VLOOKUP($B8,'County Data'!$B$9:$P$46,14,FALSE)</f>
        <v>0</v>
      </c>
      <c r="O8" s="47">
        <f>IF(N8="Y",$C$3*Input!$C$40/36*O$4,0)</f>
        <v>0</v>
      </c>
      <c r="P8" s="15">
        <f t="shared" ref="P8:P40" si="6">IF(N8="Y",$C8,0)</f>
        <v>0</v>
      </c>
      <c r="Q8" s="75">
        <f t="shared" ref="Q8:Q40" si="7">ROUND(($C$3*O$4-O$41)*(P8/P$41),2)</f>
        <v>0</v>
      </c>
      <c r="R8" s="76">
        <f t="shared" ref="R8:R40" si="8">O8+Q8</f>
        <v>0</v>
      </c>
      <c r="S8" s="26">
        <f>VLOOKUP($B8,'County Data'!$B$9:$P$46,15,FALSE)</f>
        <v>0</v>
      </c>
      <c r="T8" s="47">
        <f>IF(S8="Y",$C$3*Input!$C$40/36*T$4,0)</f>
        <v>0</v>
      </c>
      <c r="U8" s="15">
        <f t="shared" ref="U8:U40" si="9">IF(S8="Y",$C8,0)</f>
        <v>0</v>
      </c>
      <c r="V8" s="75">
        <f t="shared" ref="V8:V40" si="10">ROUND(($C$3*T$4-T$41)*(U8/U$41),2)</f>
        <v>0</v>
      </c>
      <c r="W8" s="76">
        <f t="shared" ref="W8:W40" si="11">T8+V8</f>
        <v>0</v>
      </c>
      <c r="X8" s="77">
        <f t="shared" ref="X8:X40" si="12">H8+M8+R8+W8</f>
        <v>0</v>
      </c>
      <c r="Y8" s="46">
        <f t="shared" ref="Y8:Y41" si="13">X8/C8</f>
        <v>0</v>
      </c>
    </row>
    <row r="9" spans="2:25" x14ac:dyDescent="0.45">
      <c r="B9" s="20" t="str">
        <f>+'County Data'!$B$22</f>
        <v>Harney</v>
      </c>
      <c r="C9" s="15">
        <f>VLOOKUP($B9,'County Data'!$B$10:$P$46,2,FALSE)</f>
        <v>7360</v>
      </c>
      <c r="D9" s="26" t="str">
        <f>VLOOKUP($B9,'County Data'!$B$9:$P$46,12,FALSE)</f>
        <v>Y</v>
      </c>
      <c r="E9" s="75">
        <f>IF(D9="Y",$C$3*Input!$C$40/36*E$4,0)</f>
        <v>0</v>
      </c>
      <c r="F9" s="15">
        <f t="shared" si="0"/>
        <v>7360</v>
      </c>
      <c r="G9" s="75">
        <f t="shared" si="1"/>
        <v>0</v>
      </c>
      <c r="H9" s="76">
        <f t="shared" si="2"/>
        <v>0</v>
      </c>
      <c r="I9" s="26">
        <f>VLOOKUP($B9,'County Data'!$B$9:$P$46,13,FALSE)</f>
        <v>0</v>
      </c>
      <c r="J9" s="47">
        <f>IF(I9="Y",$C$3*Input!$C$40/36*J$4,0)</f>
        <v>0</v>
      </c>
      <c r="K9" s="15">
        <f t="shared" si="3"/>
        <v>0</v>
      </c>
      <c r="L9" s="75">
        <f t="shared" si="4"/>
        <v>0</v>
      </c>
      <c r="M9" s="76">
        <f t="shared" si="5"/>
        <v>0</v>
      </c>
      <c r="N9" s="26">
        <f>VLOOKUP($B9,'County Data'!$B$9:$P$46,14,FALSE)</f>
        <v>0</v>
      </c>
      <c r="O9" s="47">
        <f>IF(N9="Y",$C$3*Input!$C$40/36*O$4,0)</f>
        <v>0</v>
      </c>
      <c r="P9" s="15">
        <f t="shared" si="6"/>
        <v>0</v>
      </c>
      <c r="Q9" s="75">
        <f t="shared" si="7"/>
        <v>0</v>
      </c>
      <c r="R9" s="76">
        <f t="shared" si="8"/>
        <v>0</v>
      </c>
      <c r="S9" s="26">
        <f>VLOOKUP($B9,'County Data'!$B$9:$P$46,15,FALSE)</f>
        <v>0</v>
      </c>
      <c r="T9" s="47">
        <f>IF(S9="Y",$C$3*Input!$C$40/36*T$4,0)</f>
        <v>0</v>
      </c>
      <c r="U9" s="15">
        <f t="shared" si="9"/>
        <v>0</v>
      </c>
      <c r="V9" s="75">
        <f t="shared" si="10"/>
        <v>0</v>
      </c>
      <c r="W9" s="76">
        <f t="shared" si="11"/>
        <v>0</v>
      </c>
      <c r="X9" s="77">
        <f t="shared" si="12"/>
        <v>0</v>
      </c>
      <c r="Y9" s="46">
        <f t="shared" si="13"/>
        <v>0</v>
      </c>
    </row>
    <row r="10" spans="2:25" x14ac:dyDescent="0.45">
      <c r="B10" s="20" t="str">
        <f>+'County Data'!$B$21</f>
        <v>Grant</v>
      </c>
      <c r="C10" s="15">
        <f>VLOOKUP($B10,'County Data'!$B$10:$P$46,2,FALSE)</f>
        <v>7360</v>
      </c>
      <c r="D10" s="26" t="str">
        <f>VLOOKUP($B10,'County Data'!$B$9:$P$46,12,FALSE)</f>
        <v>Y</v>
      </c>
      <c r="E10" s="75">
        <f>IF(D10="Y",$C$3*Input!$C$40/36*E$4,0)</f>
        <v>0</v>
      </c>
      <c r="F10" s="15">
        <f t="shared" si="0"/>
        <v>7360</v>
      </c>
      <c r="G10" s="75">
        <f t="shared" si="1"/>
        <v>0</v>
      </c>
      <c r="H10" s="76">
        <f t="shared" si="2"/>
        <v>0</v>
      </c>
      <c r="I10" s="26">
        <f>VLOOKUP($B10,'County Data'!$B$9:$P$46,13,FALSE)</f>
        <v>0</v>
      </c>
      <c r="J10" s="47">
        <f>IF(I10="Y",$C$3*Input!$C$40/36*J$4,0)</f>
        <v>0</v>
      </c>
      <c r="K10" s="15">
        <f t="shared" si="3"/>
        <v>0</v>
      </c>
      <c r="L10" s="75">
        <f t="shared" si="4"/>
        <v>0</v>
      </c>
      <c r="M10" s="76">
        <f t="shared" si="5"/>
        <v>0</v>
      </c>
      <c r="N10" s="26">
        <f>VLOOKUP($B10,'County Data'!$B$9:$P$46,14,FALSE)</f>
        <v>0</v>
      </c>
      <c r="O10" s="47">
        <f>IF(N10="Y",$C$3*Input!$C$40/36*O$4,0)</f>
        <v>0</v>
      </c>
      <c r="P10" s="15">
        <f t="shared" si="6"/>
        <v>0</v>
      </c>
      <c r="Q10" s="75">
        <f t="shared" si="7"/>
        <v>0</v>
      </c>
      <c r="R10" s="76">
        <f t="shared" si="8"/>
        <v>0</v>
      </c>
      <c r="S10" s="26">
        <f>VLOOKUP($B10,'County Data'!$B$9:$P$46,15,FALSE)</f>
        <v>0</v>
      </c>
      <c r="T10" s="47">
        <f>IF(S10="Y",$C$3*Input!$C$40/36*T$4,0)</f>
        <v>0</v>
      </c>
      <c r="U10" s="15">
        <f t="shared" si="9"/>
        <v>0</v>
      </c>
      <c r="V10" s="75">
        <f t="shared" si="10"/>
        <v>0</v>
      </c>
      <c r="W10" s="76">
        <f t="shared" si="11"/>
        <v>0</v>
      </c>
      <c r="X10" s="77">
        <f t="shared" si="12"/>
        <v>0</v>
      </c>
      <c r="Y10" s="46">
        <f t="shared" si="13"/>
        <v>0</v>
      </c>
    </row>
    <row r="11" spans="2:25" x14ac:dyDescent="0.45">
      <c r="B11" s="20" t="str">
        <f>+'County Data'!$B$28</f>
        <v>Lake</v>
      </c>
      <c r="C11" s="15">
        <f>VLOOKUP($B11,'County Data'!$B$10:$P$46,2,FALSE)</f>
        <v>8080</v>
      </c>
      <c r="D11" s="26" t="str">
        <f>VLOOKUP($B11,'County Data'!$B$9:$P$46,12,FALSE)</f>
        <v>Y</v>
      </c>
      <c r="E11" s="75">
        <f>IF(D11="Y",$C$3*Input!$C$40/36*E$4,0)</f>
        <v>0</v>
      </c>
      <c r="F11" s="15">
        <f t="shared" si="0"/>
        <v>8080</v>
      </c>
      <c r="G11" s="75">
        <f t="shared" si="1"/>
        <v>0</v>
      </c>
      <c r="H11" s="76">
        <f t="shared" si="2"/>
        <v>0</v>
      </c>
      <c r="I11" s="26">
        <f>VLOOKUP($B11,'County Data'!$B$9:$P$46,13,FALSE)</f>
        <v>0</v>
      </c>
      <c r="J11" s="47">
        <f>IF(I11="Y",$C$3*Input!$C$40/36*J$4,0)</f>
        <v>0</v>
      </c>
      <c r="K11" s="15">
        <f t="shared" si="3"/>
        <v>0</v>
      </c>
      <c r="L11" s="75">
        <f t="shared" si="4"/>
        <v>0</v>
      </c>
      <c r="M11" s="76">
        <f t="shared" si="5"/>
        <v>0</v>
      </c>
      <c r="N11" s="26">
        <f>VLOOKUP($B11,'County Data'!$B$9:$P$46,14,FALSE)</f>
        <v>0</v>
      </c>
      <c r="O11" s="47">
        <f>IF(N11="Y",$C$3*Input!$C$40/36*O$4,0)</f>
        <v>0</v>
      </c>
      <c r="P11" s="15">
        <f t="shared" si="6"/>
        <v>0</v>
      </c>
      <c r="Q11" s="75">
        <f t="shared" si="7"/>
        <v>0</v>
      </c>
      <c r="R11" s="76">
        <f t="shared" si="8"/>
        <v>0</v>
      </c>
      <c r="S11" s="26">
        <f>VLOOKUP($B11,'County Data'!$B$9:$P$46,15,FALSE)</f>
        <v>0</v>
      </c>
      <c r="T11" s="47">
        <f>IF(S11="Y",$C$3*Input!$C$40/36*T$4,0)</f>
        <v>0</v>
      </c>
      <c r="U11" s="15">
        <f t="shared" si="9"/>
        <v>0</v>
      </c>
      <c r="V11" s="75">
        <f t="shared" si="10"/>
        <v>0</v>
      </c>
      <c r="W11" s="76">
        <f t="shared" si="11"/>
        <v>0</v>
      </c>
      <c r="X11" s="77">
        <f t="shared" si="12"/>
        <v>0</v>
      </c>
      <c r="Y11" s="46">
        <f t="shared" si="13"/>
        <v>0</v>
      </c>
    </row>
    <row r="12" spans="2:25" x14ac:dyDescent="0.45">
      <c r="B12" s="20" t="str">
        <f>+'County Data'!$B$34</f>
        <v>Morrow</v>
      </c>
      <c r="C12" s="15">
        <f>VLOOKUP($B12,'County Data'!$B$10:$P$46,2,FALSE)</f>
        <v>12680</v>
      </c>
      <c r="D12" s="26" t="str">
        <f>VLOOKUP($B12,'County Data'!$B$9:$P$46,12,FALSE)</f>
        <v>Y</v>
      </c>
      <c r="E12" s="75">
        <f>IF(D12="Y",$C$3*Input!$C$40/36*E$4,0)</f>
        <v>0</v>
      </c>
      <c r="F12" s="15">
        <f t="shared" si="0"/>
        <v>12680</v>
      </c>
      <c r="G12" s="75">
        <f t="shared" si="1"/>
        <v>0</v>
      </c>
      <c r="H12" s="76">
        <f t="shared" si="2"/>
        <v>0</v>
      </c>
      <c r="I12" s="26">
        <f>VLOOKUP($B12,'County Data'!$B$9:$P$46,13,FALSE)</f>
        <v>0</v>
      </c>
      <c r="J12" s="47">
        <f>IF(I12="Y",$C$3*Input!$C$40/36*J$4,0)</f>
        <v>0</v>
      </c>
      <c r="K12" s="15">
        <f t="shared" si="3"/>
        <v>0</v>
      </c>
      <c r="L12" s="75">
        <f t="shared" si="4"/>
        <v>0</v>
      </c>
      <c r="M12" s="76">
        <f t="shared" si="5"/>
        <v>0</v>
      </c>
      <c r="N12" s="26">
        <f>VLOOKUP($B12,'County Data'!$B$9:$P$46,14,FALSE)</f>
        <v>0</v>
      </c>
      <c r="O12" s="47">
        <f>IF(N12="Y",$C$3*Input!$C$40/36*O$4,0)</f>
        <v>0</v>
      </c>
      <c r="P12" s="15">
        <f t="shared" si="6"/>
        <v>0</v>
      </c>
      <c r="Q12" s="75">
        <f t="shared" si="7"/>
        <v>0</v>
      </c>
      <c r="R12" s="76">
        <f t="shared" si="8"/>
        <v>0</v>
      </c>
      <c r="S12" s="26">
        <f>VLOOKUP($B12,'County Data'!$B$9:$P$46,15,FALSE)</f>
        <v>0</v>
      </c>
      <c r="T12" s="47">
        <f>IF(S12="Y",$C$3*Input!$C$40/36*T$4,0)</f>
        <v>0</v>
      </c>
      <c r="U12" s="15">
        <f t="shared" si="9"/>
        <v>0</v>
      </c>
      <c r="V12" s="75">
        <f t="shared" si="10"/>
        <v>0</v>
      </c>
      <c r="W12" s="76">
        <f t="shared" si="11"/>
        <v>0</v>
      </c>
      <c r="X12" s="77">
        <f t="shared" si="12"/>
        <v>0</v>
      </c>
      <c r="Y12" s="46">
        <f t="shared" si="13"/>
        <v>0</v>
      </c>
    </row>
    <row r="13" spans="2:25" x14ac:dyDescent="0.45">
      <c r="B13" s="20" t="str">
        <f>+'County Data'!$B$10</f>
        <v>Baker</v>
      </c>
      <c r="C13" s="15">
        <f>VLOOKUP($B13,'County Data'!$B$10:$P$46,2,FALSE)</f>
        <v>16820</v>
      </c>
      <c r="D13" s="26" t="str">
        <f>VLOOKUP($B13,'County Data'!$B$9:$P$46,12,FALSE)</f>
        <v>Y</v>
      </c>
      <c r="E13" s="75">
        <f>IF(D13="Y",$C$3*Input!$C$40/36*E$4,0)</f>
        <v>0</v>
      </c>
      <c r="F13" s="15">
        <f t="shared" si="0"/>
        <v>16820</v>
      </c>
      <c r="G13" s="75">
        <f t="shared" si="1"/>
        <v>0</v>
      </c>
      <c r="H13" s="76">
        <f t="shared" si="2"/>
        <v>0</v>
      </c>
      <c r="I13" s="26">
        <f>VLOOKUP($B13,'County Data'!$B$9:$P$46,13,FALSE)</f>
        <v>0</v>
      </c>
      <c r="J13" s="47">
        <f>IF(I13="Y",$C$3*Input!$C$40/36*J$4,0)</f>
        <v>0</v>
      </c>
      <c r="K13" s="15">
        <f t="shared" si="3"/>
        <v>0</v>
      </c>
      <c r="L13" s="75">
        <f t="shared" si="4"/>
        <v>0</v>
      </c>
      <c r="M13" s="76">
        <f t="shared" si="5"/>
        <v>0</v>
      </c>
      <c r="N13" s="26">
        <f>VLOOKUP($B13,'County Data'!$B$9:$P$46,14,FALSE)</f>
        <v>0</v>
      </c>
      <c r="O13" s="47">
        <f>IF(N13="Y",$C$3*Input!$C$40/36*O$4,0)</f>
        <v>0</v>
      </c>
      <c r="P13" s="15">
        <f t="shared" si="6"/>
        <v>0</v>
      </c>
      <c r="Q13" s="75">
        <f t="shared" si="7"/>
        <v>0</v>
      </c>
      <c r="R13" s="76">
        <f t="shared" si="8"/>
        <v>0</v>
      </c>
      <c r="S13" s="26">
        <f>VLOOKUP($B13,'County Data'!$B$9:$P$46,15,FALSE)</f>
        <v>0</v>
      </c>
      <c r="T13" s="47">
        <f>IF(S13="Y",$C$3*Input!$C$40/36*T$4,0)</f>
        <v>0</v>
      </c>
      <c r="U13" s="15">
        <f t="shared" si="9"/>
        <v>0</v>
      </c>
      <c r="V13" s="75">
        <f t="shared" si="10"/>
        <v>0</v>
      </c>
      <c r="W13" s="76">
        <f t="shared" si="11"/>
        <v>0</v>
      </c>
      <c r="X13" s="77">
        <f t="shared" si="12"/>
        <v>0</v>
      </c>
      <c r="Y13" s="46">
        <f t="shared" si="13"/>
        <v>0</v>
      </c>
    </row>
    <row r="14" spans="2:25" x14ac:dyDescent="0.45">
      <c r="B14" s="20" t="str">
        <f>+'County Data'!$B$16</f>
        <v>Crook</v>
      </c>
      <c r="C14" s="15">
        <f>VLOOKUP($B14,'County Data'!$B$10:$P$46,2,FALSE)</f>
        <v>23440</v>
      </c>
      <c r="D14" s="26" t="str">
        <f>VLOOKUP($B14,'County Data'!$B$9:$P$46,12,FALSE)</f>
        <v>Y</v>
      </c>
      <c r="E14" s="75">
        <f>IF(D14="Y",$C$3*Input!$C$40/36*E$4,0)</f>
        <v>0</v>
      </c>
      <c r="F14" s="15">
        <f t="shared" si="0"/>
        <v>23440</v>
      </c>
      <c r="G14" s="75">
        <f t="shared" si="1"/>
        <v>0</v>
      </c>
      <c r="H14" s="76">
        <f t="shared" si="2"/>
        <v>0</v>
      </c>
      <c r="I14" s="26">
        <f>VLOOKUP($B14,'County Data'!$B$9:$P$46,13,FALSE)</f>
        <v>0</v>
      </c>
      <c r="J14" s="47">
        <f>IF(I14="Y",$C$3*Input!$C$40/36*J$4,0)</f>
        <v>0</v>
      </c>
      <c r="K14" s="15">
        <f t="shared" si="3"/>
        <v>0</v>
      </c>
      <c r="L14" s="75">
        <f t="shared" si="4"/>
        <v>0</v>
      </c>
      <c r="M14" s="76">
        <f t="shared" si="5"/>
        <v>0</v>
      </c>
      <c r="N14" s="26">
        <f>VLOOKUP($B14,'County Data'!$B$9:$P$46,14,FALSE)</f>
        <v>0</v>
      </c>
      <c r="O14" s="47">
        <f>IF(N14="Y",$C$3*Input!$C$40/36*O$4,0)</f>
        <v>0</v>
      </c>
      <c r="P14" s="15">
        <f t="shared" si="6"/>
        <v>0</v>
      </c>
      <c r="Q14" s="75">
        <f t="shared" si="7"/>
        <v>0</v>
      </c>
      <c r="R14" s="76">
        <f t="shared" si="8"/>
        <v>0</v>
      </c>
      <c r="S14" s="26">
        <f>VLOOKUP($B14,'County Data'!$B$9:$P$46,15,FALSE)</f>
        <v>0</v>
      </c>
      <c r="T14" s="47">
        <f>IF(S14="Y",$C$3*Input!$C$40/36*T$4,0)</f>
        <v>0</v>
      </c>
      <c r="U14" s="15">
        <f t="shared" si="9"/>
        <v>0</v>
      </c>
      <c r="V14" s="75">
        <f t="shared" si="10"/>
        <v>0</v>
      </c>
      <c r="W14" s="76">
        <f t="shared" si="11"/>
        <v>0</v>
      </c>
      <c r="X14" s="77">
        <f t="shared" si="12"/>
        <v>0</v>
      </c>
      <c r="Y14" s="46">
        <f t="shared" si="13"/>
        <v>0</v>
      </c>
    </row>
    <row r="15" spans="2:25" x14ac:dyDescent="0.45">
      <c r="B15" s="20" t="str">
        <f>+'County Data'!$B$25</f>
        <v>Jefferson</v>
      </c>
      <c r="C15" s="15">
        <f>VLOOKUP($B15,'County Data'!$B$10:$P$46,2,FALSE)</f>
        <v>23840</v>
      </c>
      <c r="D15" s="26" t="str">
        <f>VLOOKUP($B15,'County Data'!$B$9:$P$46,12,FALSE)</f>
        <v>Y</v>
      </c>
      <c r="E15" s="75">
        <f>IF(D15="Y",$C$3*Input!$C$40/36*E$4,0)</f>
        <v>0</v>
      </c>
      <c r="F15" s="15">
        <f t="shared" si="0"/>
        <v>23840</v>
      </c>
      <c r="G15" s="75">
        <f t="shared" si="1"/>
        <v>0</v>
      </c>
      <c r="H15" s="76">
        <f t="shared" si="2"/>
        <v>0</v>
      </c>
      <c r="I15" s="26">
        <f>VLOOKUP($B15,'County Data'!$B$9:$P$46,13,FALSE)</f>
        <v>0</v>
      </c>
      <c r="J15" s="47">
        <f>IF(I15="Y",$C$3*Input!$C$40/36*J$4,0)</f>
        <v>0</v>
      </c>
      <c r="K15" s="15">
        <f t="shared" si="3"/>
        <v>0</v>
      </c>
      <c r="L15" s="75">
        <f t="shared" si="4"/>
        <v>0</v>
      </c>
      <c r="M15" s="76">
        <f t="shared" si="5"/>
        <v>0</v>
      </c>
      <c r="N15" s="26">
        <f>VLOOKUP($B15,'County Data'!$B$9:$P$46,14,FALSE)</f>
        <v>0</v>
      </c>
      <c r="O15" s="47">
        <f>IF(N15="Y",$C$3*Input!$C$40/36*O$4,0)</f>
        <v>0</v>
      </c>
      <c r="P15" s="15">
        <f t="shared" si="6"/>
        <v>0</v>
      </c>
      <c r="Q15" s="75">
        <f t="shared" si="7"/>
        <v>0</v>
      </c>
      <c r="R15" s="76">
        <f t="shared" si="8"/>
        <v>0</v>
      </c>
      <c r="S15" s="26">
        <f>VLOOKUP($B15,'County Data'!$B$9:$P$46,15,FALSE)</f>
        <v>0</v>
      </c>
      <c r="T15" s="47">
        <f>IF(S15="Y",$C$3*Input!$C$40/36*T$4,0)</f>
        <v>0</v>
      </c>
      <c r="U15" s="15">
        <f t="shared" si="9"/>
        <v>0</v>
      </c>
      <c r="V15" s="75">
        <f t="shared" si="10"/>
        <v>0</v>
      </c>
      <c r="W15" s="76">
        <f t="shared" si="11"/>
        <v>0</v>
      </c>
      <c r="X15" s="77">
        <f t="shared" si="12"/>
        <v>0</v>
      </c>
      <c r="Y15" s="46">
        <f t="shared" si="13"/>
        <v>0</v>
      </c>
    </row>
    <row r="16" spans="2:25" x14ac:dyDescent="0.45">
      <c r="B16" s="20" t="str">
        <f>+'County Data'!$B$17</f>
        <v>Curry</v>
      </c>
      <c r="C16" s="15">
        <f>VLOOKUP($B16,'County Data'!$B$10:$P$46,2,FALSE)</f>
        <v>23000</v>
      </c>
      <c r="D16" s="26" t="str">
        <f>VLOOKUP($B16,'County Data'!$B$9:$P$46,12,FALSE)</f>
        <v>Y</v>
      </c>
      <c r="E16" s="75">
        <f>IF(D16="Y",$C$3*Input!$C$40/36*E$4,0)</f>
        <v>0</v>
      </c>
      <c r="F16" s="15">
        <f t="shared" si="0"/>
        <v>23000</v>
      </c>
      <c r="G16" s="75">
        <f t="shared" si="1"/>
        <v>0</v>
      </c>
      <c r="H16" s="76">
        <f t="shared" si="2"/>
        <v>0</v>
      </c>
      <c r="I16" s="26">
        <f>VLOOKUP($B16,'County Data'!$B$9:$P$46,13,FALSE)</f>
        <v>0</v>
      </c>
      <c r="J16" s="47">
        <f>IF(I16="Y",$C$3*Input!$C$40/36*J$4,0)</f>
        <v>0</v>
      </c>
      <c r="K16" s="15">
        <f t="shared" si="3"/>
        <v>0</v>
      </c>
      <c r="L16" s="75">
        <f t="shared" si="4"/>
        <v>0</v>
      </c>
      <c r="M16" s="76">
        <f t="shared" si="5"/>
        <v>0</v>
      </c>
      <c r="N16" s="26">
        <f>VLOOKUP($B16,'County Data'!$B$9:$P$46,14,FALSE)</f>
        <v>0</v>
      </c>
      <c r="O16" s="47">
        <f>IF(N16="Y",$C$3*Input!$C$40/36*O$4,0)</f>
        <v>0</v>
      </c>
      <c r="P16" s="15">
        <f t="shared" si="6"/>
        <v>0</v>
      </c>
      <c r="Q16" s="75">
        <f t="shared" si="7"/>
        <v>0</v>
      </c>
      <c r="R16" s="76">
        <f t="shared" si="8"/>
        <v>0</v>
      </c>
      <c r="S16" s="26">
        <f>VLOOKUP($B16,'County Data'!$B$9:$P$46,15,FALSE)</f>
        <v>0</v>
      </c>
      <c r="T16" s="47">
        <f>IF(S16="Y",$C$3*Input!$C$40/36*T$4,0)</f>
        <v>0</v>
      </c>
      <c r="U16" s="15">
        <f t="shared" si="9"/>
        <v>0</v>
      </c>
      <c r="V16" s="75">
        <f t="shared" si="10"/>
        <v>0</v>
      </c>
      <c r="W16" s="76">
        <f t="shared" si="11"/>
        <v>0</v>
      </c>
      <c r="X16" s="77">
        <f t="shared" si="12"/>
        <v>0</v>
      </c>
      <c r="Y16" s="46">
        <f t="shared" si="13"/>
        <v>0</v>
      </c>
    </row>
    <row r="17" spans="2:25" x14ac:dyDescent="0.45">
      <c r="B17" s="20" t="str">
        <f>+'County Data'!$B$23</f>
        <v>Hood River</v>
      </c>
      <c r="C17" s="15">
        <f>VLOOKUP($B17,'County Data'!$B$10:$P$46,2,FALSE)</f>
        <v>25480</v>
      </c>
      <c r="D17" s="26" t="str">
        <f>VLOOKUP($B17,'County Data'!$B$9:$P$46,12,FALSE)</f>
        <v>Y</v>
      </c>
      <c r="E17" s="75">
        <f>IF(D17="Y",$C$3*Input!$C$40/36*E$4,0)</f>
        <v>0</v>
      </c>
      <c r="F17" s="15">
        <f t="shared" si="0"/>
        <v>25480</v>
      </c>
      <c r="G17" s="75">
        <f t="shared" si="1"/>
        <v>0</v>
      </c>
      <c r="H17" s="76">
        <f t="shared" si="2"/>
        <v>0</v>
      </c>
      <c r="I17" s="26">
        <f>VLOOKUP($B17,'County Data'!$B$9:$P$46,13,FALSE)</f>
        <v>0</v>
      </c>
      <c r="J17" s="47">
        <f>IF(I17="Y",$C$3*Input!$C$40/36*J$4,0)</f>
        <v>0</v>
      </c>
      <c r="K17" s="15">
        <f t="shared" si="3"/>
        <v>0</v>
      </c>
      <c r="L17" s="75">
        <f t="shared" si="4"/>
        <v>0</v>
      </c>
      <c r="M17" s="76">
        <f t="shared" si="5"/>
        <v>0</v>
      </c>
      <c r="N17" s="26">
        <f>VLOOKUP($B17,'County Data'!$B$9:$P$46,14,FALSE)</f>
        <v>0</v>
      </c>
      <c r="O17" s="47">
        <f>IF(N17="Y",$C$3*Input!$C$40/36*O$4,0)</f>
        <v>0</v>
      </c>
      <c r="P17" s="15">
        <f t="shared" si="6"/>
        <v>0</v>
      </c>
      <c r="Q17" s="75">
        <f t="shared" si="7"/>
        <v>0</v>
      </c>
      <c r="R17" s="76">
        <f t="shared" si="8"/>
        <v>0</v>
      </c>
      <c r="S17" s="26">
        <f>VLOOKUP($B17,'County Data'!$B$9:$P$46,15,FALSE)</f>
        <v>0</v>
      </c>
      <c r="T17" s="47">
        <f>IF(S17="Y",$C$3*Input!$C$40/36*T$4,0)</f>
        <v>0</v>
      </c>
      <c r="U17" s="15">
        <f t="shared" si="9"/>
        <v>0</v>
      </c>
      <c r="V17" s="75">
        <f t="shared" si="10"/>
        <v>0</v>
      </c>
      <c r="W17" s="76">
        <f t="shared" si="11"/>
        <v>0</v>
      </c>
      <c r="X17" s="77">
        <f t="shared" si="12"/>
        <v>0</v>
      </c>
      <c r="Y17" s="46">
        <f t="shared" si="13"/>
        <v>0</v>
      </c>
    </row>
    <row r="18" spans="2:25" x14ac:dyDescent="0.45">
      <c r="B18" s="20" t="str">
        <f>+'County Data'!$B$39</f>
        <v>Tillamook</v>
      </c>
      <c r="C18" s="15">
        <f>VLOOKUP($B18,'County Data'!$B$10:$P$46,2,FALSE)</f>
        <v>26500</v>
      </c>
      <c r="D18" s="26" t="str">
        <f>VLOOKUP($B18,'County Data'!$B$9:$P$46,12,FALSE)</f>
        <v>Y</v>
      </c>
      <c r="E18" s="75">
        <f>IF(D18="Y",$C$3*Input!$C$40/36*E$4,0)</f>
        <v>0</v>
      </c>
      <c r="F18" s="15">
        <f t="shared" si="0"/>
        <v>26500</v>
      </c>
      <c r="G18" s="75">
        <f t="shared" si="1"/>
        <v>0</v>
      </c>
      <c r="H18" s="76">
        <f t="shared" si="2"/>
        <v>0</v>
      </c>
      <c r="I18" s="26">
        <f>VLOOKUP($B18,'County Data'!$B$9:$P$46,13,FALSE)</f>
        <v>0</v>
      </c>
      <c r="J18" s="47">
        <f>IF(I18="Y",$C$3*Input!$C$40/36*J$4,0)</f>
        <v>0</v>
      </c>
      <c r="K18" s="15">
        <f t="shared" si="3"/>
        <v>0</v>
      </c>
      <c r="L18" s="75">
        <f t="shared" si="4"/>
        <v>0</v>
      </c>
      <c r="M18" s="76">
        <f t="shared" si="5"/>
        <v>0</v>
      </c>
      <c r="N18" s="26">
        <f>VLOOKUP($B18,'County Data'!$B$9:$P$46,14,FALSE)</f>
        <v>0</v>
      </c>
      <c r="O18" s="47">
        <f>IF(N18="Y",$C$3*Input!$C$40/36*O$4,0)</f>
        <v>0</v>
      </c>
      <c r="P18" s="15">
        <f t="shared" si="6"/>
        <v>0</v>
      </c>
      <c r="Q18" s="75">
        <f t="shared" si="7"/>
        <v>0</v>
      </c>
      <c r="R18" s="76">
        <f t="shared" si="8"/>
        <v>0</v>
      </c>
      <c r="S18" s="26">
        <f>VLOOKUP($B18,'County Data'!$B$9:$P$46,15,FALSE)</f>
        <v>0</v>
      </c>
      <c r="T18" s="47">
        <f>IF(S18="Y",$C$3*Input!$C$40/36*T$4,0)</f>
        <v>0</v>
      </c>
      <c r="U18" s="15">
        <f t="shared" si="9"/>
        <v>0</v>
      </c>
      <c r="V18" s="75">
        <f t="shared" si="10"/>
        <v>0</v>
      </c>
      <c r="W18" s="76">
        <f t="shared" si="11"/>
        <v>0</v>
      </c>
      <c r="X18" s="77">
        <f t="shared" si="12"/>
        <v>0</v>
      </c>
      <c r="Y18" s="46">
        <f t="shared" si="13"/>
        <v>0</v>
      </c>
    </row>
    <row r="19" spans="2:25" x14ac:dyDescent="0.45">
      <c r="B19" s="20" t="str">
        <f>+'County Data'!$B$41</f>
        <v>Union</v>
      </c>
      <c r="C19" s="15">
        <f>VLOOKUP($B19,'County Data'!$B$10:$P$46,2,FALSE)</f>
        <v>26840</v>
      </c>
      <c r="D19" s="26" t="str">
        <f>VLOOKUP($B19,'County Data'!$B$9:$P$46,12,FALSE)</f>
        <v>Y</v>
      </c>
      <c r="E19" s="75">
        <f>IF(D19="Y",$C$3*Input!$C$40/36*E$4,0)</f>
        <v>0</v>
      </c>
      <c r="F19" s="15">
        <f t="shared" si="0"/>
        <v>26840</v>
      </c>
      <c r="G19" s="75">
        <f t="shared" si="1"/>
        <v>0</v>
      </c>
      <c r="H19" s="76">
        <f t="shared" si="2"/>
        <v>0</v>
      </c>
      <c r="I19" s="26">
        <f>VLOOKUP($B19,'County Data'!$B$9:$P$46,13,FALSE)</f>
        <v>0</v>
      </c>
      <c r="J19" s="47">
        <f>IF(I19="Y",$C$3*Input!$C$40/36*J$4,0)</f>
        <v>0</v>
      </c>
      <c r="K19" s="15">
        <f t="shared" si="3"/>
        <v>0</v>
      </c>
      <c r="L19" s="75">
        <f t="shared" si="4"/>
        <v>0</v>
      </c>
      <c r="M19" s="76">
        <f t="shared" si="5"/>
        <v>0</v>
      </c>
      <c r="N19" s="26">
        <f>VLOOKUP($B19,'County Data'!$B$9:$P$46,14,FALSE)</f>
        <v>0</v>
      </c>
      <c r="O19" s="47">
        <f>IF(N19="Y",$C$3*Input!$C$40/36*O$4,0)</f>
        <v>0</v>
      </c>
      <c r="P19" s="15">
        <f t="shared" si="6"/>
        <v>0</v>
      </c>
      <c r="Q19" s="75">
        <f t="shared" si="7"/>
        <v>0</v>
      </c>
      <c r="R19" s="76">
        <f t="shared" si="8"/>
        <v>0</v>
      </c>
      <c r="S19" s="26">
        <f>VLOOKUP($B19,'County Data'!$B$9:$P$46,15,FALSE)</f>
        <v>0</v>
      </c>
      <c r="T19" s="47">
        <f>IF(S19="Y",$C$3*Input!$C$40/36*T$4,0)</f>
        <v>0</v>
      </c>
      <c r="U19" s="15">
        <f t="shared" si="9"/>
        <v>0</v>
      </c>
      <c r="V19" s="75">
        <f t="shared" si="10"/>
        <v>0</v>
      </c>
      <c r="W19" s="76">
        <f t="shared" si="11"/>
        <v>0</v>
      </c>
      <c r="X19" s="77">
        <f t="shared" si="12"/>
        <v>0</v>
      </c>
      <c r="Y19" s="46">
        <f t="shared" si="13"/>
        <v>0</v>
      </c>
    </row>
    <row r="20" spans="2:25" x14ac:dyDescent="0.45">
      <c r="B20" s="20" t="str">
        <f>+'County Data'!$B$36</f>
        <v>Gilliam, Sherman, Wasco</v>
      </c>
      <c r="C20" s="15">
        <f>VLOOKUP($B20,'County Data'!$B$10:$P$46,2,FALSE)</f>
        <v>31000</v>
      </c>
      <c r="D20" s="26" t="str">
        <f>VLOOKUP($B20,'County Data'!$B$9:$P$46,12,FALSE)</f>
        <v>Y</v>
      </c>
      <c r="E20" s="75">
        <f>IF(D20="Y",$C$3*Input!$C$40/36*3*E$4,0)</f>
        <v>0</v>
      </c>
      <c r="F20" s="15">
        <f t="shared" si="0"/>
        <v>31000</v>
      </c>
      <c r="G20" s="75">
        <f t="shared" si="1"/>
        <v>0</v>
      </c>
      <c r="H20" s="76">
        <f t="shared" si="2"/>
        <v>0</v>
      </c>
      <c r="I20" s="26">
        <f>VLOOKUP($B20,'County Data'!$B$9:$P$46,13,FALSE)</f>
        <v>0</v>
      </c>
      <c r="J20" s="47">
        <f>IF(I20="Y",$C$3*Input!$C$40/36*3*J$4,0)</f>
        <v>0</v>
      </c>
      <c r="K20" s="15">
        <f t="shared" si="3"/>
        <v>0</v>
      </c>
      <c r="L20" s="75">
        <f t="shared" si="4"/>
        <v>0</v>
      </c>
      <c r="M20" s="76">
        <f t="shared" si="5"/>
        <v>0</v>
      </c>
      <c r="N20" s="26">
        <f>VLOOKUP($B20,'County Data'!$B$9:$P$46,14,FALSE)</f>
        <v>0</v>
      </c>
      <c r="O20" s="47">
        <f>IF(N20="Y",$C$3*Input!$C$40/36*3*O$4,0)</f>
        <v>0</v>
      </c>
      <c r="P20" s="15">
        <f t="shared" si="6"/>
        <v>0</v>
      </c>
      <c r="Q20" s="75">
        <f t="shared" si="7"/>
        <v>0</v>
      </c>
      <c r="R20" s="76">
        <f t="shared" si="8"/>
        <v>0</v>
      </c>
      <c r="S20" s="26">
        <f>VLOOKUP($B20,'County Data'!$B$9:$P$46,15,FALSE)</f>
        <v>0</v>
      </c>
      <c r="T20" s="47">
        <f>IF(S20="Y",$C$3*Input!$C$40/36*3*T$4,0)</f>
        <v>0</v>
      </c>
      <c r="U20" s="15">
        <f t="shared" si="9"/>
        <v>0</v>
      </c>
      <c r="V20" s="75">
        <f t="shared" si="10"/>
        <v>0</v>
      </c>
      <c r="W20" s="76">
        <f t="shared" si="11"/>
        <v>0</v>
      </c>
      <c r="X20" s="77">
        <f t="shared" si="12"/>
        <v>0</v>
      </c>
      <c r="Y20" s="46">
        <f t="shared" si="13"/>
        <v>0</v>
      </c>
    </row>
    <row r="21" spans="2:25" x14ac:dyDescent="0.45">
      <c r="B21" s="20" t="str">
        <f>+'County Data'!$B$32</f>
        <v>Malheur</v>
      </c>
      <c r="C21" s="15">
        <f>VLOOKUP($B21,'County Data'!$B$10:$P$46,2,FALSE)</f>
        <v>32030</v>
      </c>
      <c r="D21" s="26" t="str">
        <f>VLOOKUP($B21,'County Data'!$B$9:$P$46,12,FALSE)</f>
        <v>Y</v>
      </c>
      <c r="E21" s="75">
        <f>IF(D21="Y",$C$3*Input!$C$40/36*E$4,0)</f>
        <v>0</v>
      </c>
      <c r="F21" s="15">
        <f t="shared" si="0"/>
        <v>32030</v>
      </c>
      <c r="G21" s="75">
        <f t="shared" si="1"/>
        <v>0</v>
      </c>
      <c r="H21" s="76">
        <f t="shared" si="2"/>
        <v>0</v>
      </c>
      <c r="I21" s="26">
        <f>VLOOKUP($B21,'County Data'!$B$9:$P$46,13,FALSE)</f>
        <v>0</v>
      </c>
      <c r="J21" s="47">
        <f>IF(I21="Y",$C$3*Input!$C$40/36*J$4,0)</f>
        <v>0</v>
      </c>
      <c r="K21" s="15">
        <f t="shared" si="3"/>
        <v>0</v>
      </c>
      <c r="L21" s="75">
        <f t="shared" si="4"/>
        <v>0</v>
      </c>
      <c r="M21" s="76">
        <f t="shared" si="5"/>
        <v>0</v>
      </c>
      <c r="N21" s="26">
        <f>VLOOKUP($B21,'County Data'!$B$9:$P$46,14,FALSE)</f>
        <v>0</v>
      </c>
      <c r="O21" s="47">
        <f>IF(N21="Y",$C$3*Input!$C$40/36*O$4,0)</f>
        <v>0</v>
      </c>
      <c r="P21" s="15">
        <f t="shared" si="6"/>
        <v>0</v>
      </c>
      <c r="Q21" s="75">
        <f t="shared" si="7"/>
        <v>0</v>
      </c>
      <c r="R21" s="76">
        <f t="shared" si="8"/>
        <v>0</v>
      </c>
      <c r="S21" s="26">
        <f>VLOOKUP($B21,'County Data'!$B$9:$P$46,15,FALSE)</f>
        <v>0</v>
      </c>
      <c r="T21" s="47">
        <f>IF(S21="Y",$C$3*Input!$C$40/36*T$4,0)</f>
        <v>0</v>
      </c>
      <c r="U21" s="15">
        <f t="shared" si="9"/>
        <v>0</v>
      </c>
      <c r="V21" s="75">
        <f t="shared" si="10"/>
        <v>0</v>
      </c>
      <c r="W21" s="76">
        <f t="shared" si="11"/>
        <v>0</v>
      </c>
      <c r="X21" s="77">
        <f t="shared" si="12"/>
        <v>0</v>
      </c>
      <c r="Y21" s="46">
        <f t="shared" si="13"/>
        <v>0</v>
      </c>
    </row>
    <row r="22" spans="2:25" x14ac:dyDescent="0.45">
      <c r="B22" s="20" t="str">
        <f>+'County Data'!$B$13</f>
        <v>Clatsop</v>
      </c>
      <c r="C22" s="15">
        <f>VLOOKUP($B22,'County Data'!$B$10:$P$46,2,FALSE)</f>
        <v>39330</v>
      </c>
      <c r="D22" s="26" t="str">
        <f>VLOOKUP($B22,'County Data'!$B$9:$P$46,12,FALSE)</f>
        <v>Y</v>
      </c>
      <c r="E22" s="75">
        <f>IF(D22="Y",$C$3*Input!$C$40/36*E$4,0)</f>
        <v>0</v>
      </c>
      <c r="F22" s="15">
        <f t="shared" si="0"/>
        <v>39330</v>
      </c>
      <c r="G22" s="75">
        <f t="shared" si="1"/>
        <v>0</v>
      </c>
      <c r="H22" s="76">
        <f t="shared" si="2"/>
        <v>0</v>
      </c>
      <c r="I22" s="26">
        <f>VLOOKUP($B22,'County Data'!$B$9:$P$46,13,FALSE)</f>
        <v>0</v>
      </c>
      <c r="J22" s="47">
        <f>IF(I22="Y",$C$3*Input!$C$40/36*J$4,0)</f>
        <v>0</v>
      </c>
      <c r="K22" s="15">
        <f t="shared" si="3"/>
        <v>0</v>
      </c>
      <c r="L22" s="75">
        <f t="shared" si="4"/>
        <v>0</v>
      </c>
      <c r="M22" s="76">
        <f t="shared" si="5"/>
        <v>0</v>
      </c>
      <c r="N22" s="26">
        <f>VLOOKUP($B22,'County Data'!$B$9:$P$46,14,FALSE)</f>
        <v>0</v>
      </c>
      <c r="O22" s="47">
        <f>IF(N22="Y",$C$3*Input!$C$40/36*O$4,0)</f>
        <v>0</v>
      </c>
      <c r="P22" s="15">
        <f t="shared" si="6"/>
        <v>0</v>
      </c>
      <c r="Q22" s="75">
        <f t="shared" si="7"/>
        <v>0</v>
      </c>
      <c r="R22" s="76">
        <f t="shared" si="8"/>
        <v>0</v>
      </c>
      <c r="S22" s="26">
        <f>VLOOKUP($B22,'County Data'!$B$9:$P$46,15,FALSE)</f>
        <v>0</v>
      </c>
      <c r="T22" s="47">
        <f>IF(S22="Y",$C$3*Input!$C$40/36*T$4,0)</f>
        <v>0</v>
      </c>
      <c r="U22" s="15">
        <f t="shared" si="9"/>
        <v>0</v>
      </c>
      <c r="V22" s="75">
        <f t="shared" si="10"/>
        <v>0</v>
      </c>
      <c r="W22" s="76">
        <f t="shared" si="11"/>
        <v>0</v>
      </c>
      <c r="X22" s="77">
        <f t="shared" si="12"/>
        <v>0</v>
      </c>
      <c r="Y22" s="46">
        <f t="shared" si="13"/>
        <v>0</v>
      </c>
    </row>
    <row r="23" spans="2:25" x14ac:dyDescent="0.45">
      <c r="B23" s="20" t="str">
        <f>+'County Data'!$B$30</f>
        <v>Lincoln</v>
      </c>
      <c r="C23" s="15">
        <f>VLOOKUP($B23,'County Data'!$B$10:$P$46,2,FALSE)</f>
        <v>48260</v>
      </c>
      <c r="D23" s="26" t="str">
        <f>VLOOKUP($B23,'County Data'!$B$9:$P$46,12,FALSE)</f>
        <v>Y</v>
      </c>
      <c r="E23" s="75">
        <f>IF(D23="Y",$C$3*Input!$C$40/36*E$4,0)</f>
        <v>0</v>
      </c>
      <c r="F23" s="15">
        <f t="shared" si="0"/>
        <v>48260</v>
      </c>
      <c r="G23" s="75">
        <f t="shared" si="1"/>
        <v>0</v>
      </c>
      <c r="H23" s="76">
        <f t="shared" si="2"/>
        <v>0</v>
      </c>
      <c r="I23" s="26">
        <f>VLOOKUP($B23,'County Data'!$B$9:$P$46,13,FALSE)</f>
        <v>0</v>
      </c>
      <c r="J23" s="47">
        <f>IF(I23="Y",$C$3*Input!$C$40/36*J$4,0)</f>
        <v>0</v>
      </c>
      <c r="K23" s="15">
        <f t="shared" si="3"/>
        <v>0</v>
      </c>
      <c r="L23" s="75">
        <f t="shared" si="4"/>
        <v>0</v>
      </c>
      <c r="M23" s="76">
        <f t="shared" si="5"/>
        <v>0</v>
      </c>
      <c r="N23" s="26">
        <f>VLOOKUP($B23,'County Data'!$B$9:$P$46,14,FALSE)</f>
        <v>0</v>
      </c>
      <c r="O23" s="47">
        <f>IF(N23="Y",$C$3*Input!$C$40/36*O$4,0)</f>
        <v>0</v>
      </c>
      <c r="P23" s="15">
        <f t="shared" si="6"/>
        <v>0</v>
      </c>
      <c r="Q23" s="75">
        <f t="shared" si="7"/>
        <v>0</v>
      </c>
      <c r="R23" s="76">
        <f t="shared" si="8"/>
        <v>0</v>
      </c>
      <c r="S23" s="26">
        <f>VLOOKUP($B23,'County Data'!$B$9:$P$46,15,FALSE)</f>
        <v>0</v>
      </c>
      <c r="T23" s="47">
        <f>IF(S23="Y",$C$3*Input!$C$40/36*T$4,0)</f>
        <v>0</v>
      </c>
      <c r="U23" s="15">
        <f t="shared" si="9"/>
        <v>0</v>
      </c>
      <c r="V23" s="75">
        <f t="shared" si="10"/>
        <v>0</v>
      </c>
      <c r="W23" s="76">
        <f t="shared" si="11"/>
        <v>0</v>
      </c>
      <c r="X23" s="77">
        <f t="shared" si="12"/>
        <v>0</v>
      </c>
      <c r="Y23" s="46">
        <f t="shared" si="13"/>
        <v>0</v>
      </c>
    </row>
    <row r="24" spans="2:25" x14ac:dyDescent="0.45">
      <c r="B24" s="20" t="str">
        <f>+'County Data'!$B$14</f>
        <v>Columbia</v>
      </c>
      <c r="C24" s="15">
        <f>VLOOKUP($B24,'County Data'!$B$10:$P$46,2,FALSE)</f>
        <v>52750</v>
      </c>
      <c r="D24" s="26" t="str">
        <f>VLOOKUP($B24,'County Data'!$B$9:$P$46,12,FALSE)</f>
        <v>Y</v>
      </c>
      <c r="E24" s="75">
        <f>IF(D24="Y",$C$3*Input!$C$40/36*E$4,0)</f>
        <v>0</v>
      </c>
      <c r="F24" s="15">
        <f t="shared" si="0"/>
        <v>52750</v>
      </c>
      <c r="G24" s="75">
        <f t="shared" si="1"/>
        <v>0</v>
      </c>
      <c r="H24" s="76">
        <f t="shared" si="2"/>
        <v>0</v>
      </c>
      <c r="I24" s="26">
        <f>VLOOKUP($B24,'County Data'!$B$9:$P$46,13,FALSE)</f>
        <v>0</v>
      </c>
      <c r="J24" s="47">
        <f>IF(I24="Y",$C$3*Input!$C$40/36*J$4,0)</f>
        <v>0</v>
      </c>
      <c r="K24" s="15">
        <f t="shared" si="3"/>
        <v>0</v>
      </c>
      <c r="L24" s="75">
        <f t="shared" si="4"/>
        <v>0</v>
      </c>
      <c r="M24" s="76">
        <f t="shared" si="5"/>
        <v>0</v>
      </c>
      <c r="N24" s="26">
        <f>VLOOKUP($B24,'County Data'!$B$9:$P$46,14,FALSE)</f>
        <v>0</v>
      </c>
      <c r="O24" s="47">
        <f>IF(N24="Y",$C$3*Input!$C$40/36*O$4,0)</f>
        <v>0</v>
      </c>
      <c r="P24" s="15">
        <f t="shared" si="6"/>
        <v>0</v>
      </c>
      <c r="Q24" s="75">
        <f t="shared" si="7"/>
        <v>0</v>
      </c>
      <c r="R24" s="76">
        <f t="shared" si="8"/>
        <v>0</v>
      </c>
      <c r="S24" s="26">
        <f>VLOOKUP($B24,'County Data'!$B$9:$P$46,15,FALSE)</f>
        <v>0</v>
      </c>
      <c r="T24" s="47">
        <f>IF(S24="Y",$C$3*Input!$C$40/36*T$4,0)</f>
        <v>0</v>
      </c>
      <c r="U24" s="15">
        <f t="shared" si="9"/>
        <v>0</v>
      </c>
      <c r="V24" s="75">
        <f t="shared" si="10"/>
        <v>0</v>
      </c>
      <c r="W24" s="76">
        <f t="shared" si="11"/>
        <v>0</v>
      </c>
      <c r="X24" s="77">
        <f t="shared" si="12"/>
        <v>0</v>
      </c>
      <c r="Y24" s="46">
        <f t="shared" si="13"/>
        <v>0</v>
      </c>
    </row>
    <row r="25" spans="2:25" x14ac:dyDescent="0.45">
      <c r="B25" s="20" t="str">
        <f>+'County Data'!$B$15</f>
        <v>Coos</v>
      </c>
      <c r="C25" s="15">
        <f>VLOOKUP($B25,'County Data'!$B$10:$P$46,2,FALSE)</f>
        <v>63290</v>
      </c>
      <c r="D25" s="26" t="str">
        <f>VLOOKUP($B25,'County Data'!$B$9:$P$46,12,FALSE)</f>
        <v>Y</v>
      </c>
      <c r="E25" s="75">
        <f>IF(D25="Y",$C$3*Input!$C$40/36*E$4,0)</f>
        <v>0</v>
      </c>
      <c r="F25" s="15">
        <f t="shared" si="0"/>
        <v>63290</v>
      </c>
      <c r="G25" s="75">
        <f t="shared" si="1"/>
        <v>0</v>
      </c>
      <c r="H25" s="76">
        <f t="shared" si="2"/>
        <v>0</v>
      </c>
      <c r="I25" s="26">
        <f>VLOOKUP($B25,'County Data'!$B$9:$P$46,13,FALSE)</f>
        <v>0</v>
      </c>
      <c r="J25" s="47">
        <f>IF(I25="Y",$C$3*Input!$C$40/36*J$4,0)</f>
        <v>0</v>
      </c>
      <c r="K25" s="15">
        <f t="shared" si="3"/>
        <v>0</v>
      </c>
      <c r="L25" s="75">
        <f t="shared" si="4"/>
        <v>0</v>
      </c>
      <c r="M25" s="76">
        <f t="shared" si="5"/>
        <v>0</v>
      </c>
      <c r="N25" s="26">
        <f>VLOOKUP($B25,'County Data'!$B$9:$P$46,14,FALSE)</f>
        <v>0</v>
      </c>
      <c r="O25" s="47">
        <f>IF(N25="Y",$C$3*Input!$C$40/36*O$4,0)</f>
        <v>0</v>
      </c>
      <c r="P25" s="15">
        <f t="shared" si="6"/>
        <v>0</v>
      </c>
      <c r="Q25" s="75">
        <f t="shared" si="7"/>
        <v>0</v>
      </c>
      <c r="R25" s="76">
        <f t="shared" si="8"/>
        <v>0</v>
      </c>
      <c r="S25" s="26">
        <f>VLOOKUP($B25,'County Data'!$B$9:$P$46,15,FALSE)</f>
        <v>0</v>
      </c>
      <c r="T25" s="47">
        <f>IF(S25="Y",$C$3*Input!$C$40/36*T$4,0)</f>
        <v>0</v>
      </c>
      <c r="U25" s="15">
        <f t="shared" si="9"/>
        <v>0</v>
      </c>
      <c r="V25" s="75">
        <f t="shared" si="10"/>
        <v>0</v>
      </c>
      <c r="W25" s="76">
        <f t="shared" si="11"/>
        <v>0</v>
      </c>
      <c r="X25" s="77">
        <f t="shared" si="12"/>
        <v>0</v>
      </c>
      <c r="Y25" s="46">
        <f t="shared" si="13"/>
        <v>0</v>
      </c>
    </row>
    <row r="26" spans="2:25" x14ac:dyDescent="0.45">
      <c r="B26" s="20" t="str">
        <f>+'County Data'!$B$27</f>
        <v>Klamath</v>
      </c>
      <c r="C26" s="15">
        <f>VLOOKUP($B26,'County Data'!$B$10:$P$46,2,FALSE)</f>
        <v>68190</v>
      </c>
      <c r="D26" s="26" t="str">
        <f>VLOOKUP($B26,'County Data'!$B$9:$P$46,12,FALSE)</f>
        <v>Y</v>
      </c>
      <c r="E26" s="75">
        <f>IF(D26="Y",$C$3*Input!$C$40/36*E$4,0)</f>
        <v>0</v>
      </c>
      <c r="F26" s="15">
        <f t="shared" si="0"/>
        <v>68190</v>
      </c>
      <c r="G26" s="75">
        <f t="shared" si="1"/>
        <v>0</v>
      </c>
      <c r="H26" s="76">
        <f t="shared" si="2"/>
        <v>0</v>
      </c>
      <c r="I26" s="26">
        <f>VLOOKUP($B26,'County Data'!$B$9:$P$46,13,FALSE)</f>
        <v>0</v>
      </c>
      <c r="J26" s="47">
        <f>IF(I26="Y",$C$3*Input!$C$40/36*J$4,0)</f>
        <v>0</v>
      </c>
      <c r="K26" s="15">
        <f t="shared" si="3"/>
        <v>0</v>
      </c>
      <c r="L26" s="75">
        <f t="shared" si="4"/>
        <v>0</v>
      </c>
      <c r="M26" s="76">
        <f t="shared" si="5"/>
        <v>0</v>
      </c>
      <c r="N26" s="26">
        <f>VLOOKUP($B26,'County Data'!$B$9:$P$46,14,FALSE)</f>
        <v>0</v>
      </c>
      <c r="O26" s="47">
        <f>IF(N26="Y",$C$3*Input!$C$40/36*O$4,0)</f>
        <v>0</v>
      </c>
      <c r="P26" s="15">
        <f t="shared" si="6"/>
        <v>0</v>
      </c>
      <c r="Q26" s="75">
        <f t="shared" si="7"/>
        <v>0</v>
      </c>
      <c r="R26" s="76">
        <f t="shared" si="8"/>
        <v>0</v>
      </c>
      <c r="S26" s="26">
        <f>VLOOKUP($B26,'County Data'!$B$9:$P$46,15,FALSE)</f>
        <v>0</v>
      </c>
      <c r="T26" s="47">
        <f>IF(S26="Y",$C$3*Input!$C$40/36*T$4,0)</f>
        <v>0</v>
      </c>
      <c r="U26" s="15">
        <f t="shared" si="9"/>
        <v>0</v>
      </c>
      <c r="V26" s="75">
        <f t="shared" si="10"/>
        <v>0</v>
      </c>
      <c r="W26" s="76">
        <f t="shared" si="11"/>
        <v>0</v>
      </c>
      <c r="X26" s="77">
        <f t="shared" si="12"/>
        <v>0</v>
      </c>
      <c r="Y26" s="46">
        <f t="shared" si="13"/>
        <v>0</v>
      </c>
    </row>
    <row r="27" spans="2:25" x14ac:dyDescent="0.45">
      <c r="B27" s="20" t="str">
        <f>+'County Data'!$B$37</f>
        <v>Polk</v>
      </c>
      <c r="C27" s="15">
        <f>VLOOKUP($B27,'County Data'!$B$10:$P$46,2,FALSE)</f>
        <v>82940</v>
      </c>
      <c r="D27" s="26" t="str">
        <f>VLOOKUP($B27,'County Data'!$B$9:$P$46,12,FALSE)</f>
        <v>Y</v>
      </c>
      <c r="E27" s="75">
        <f>IF(D27="Y",$C$3*Input!$C$40/36*E$4,0)</f>
        <v>0</v>
      </c>
      <c r="F27" s="15">
        <f t="shared" si="0"/>
        <v>82940</v>
      </c>
      <c r="G27" s="75">
        <f t="shared" si="1"/>
        <v>0</v>
      </c>
      <c r="H27" s="76">
        <f t="shared" si="2"/>
        <v>0</v>
      </c>
      <c r="I27" s="26">
        <f>VLOOKUP($B27,'County Data'!$B$9:$P$46,13,FALSE)</f>
        <v>0</v>
      </c>
      <c r="J27" s="47">
        <f>IF(I27="Y",$C$3*Input!$C$40/36*J$4,0)</f>
        <v>0</v>
      </c>
      <c r="K27" s="15">
        <f t="shared" si="3"/>
        <v>0</v>
      </c>
      <c r="L27" s="75">
        <f t="shared" si="4"/>
        <v>0</v>
      </c>
      <c r="M27" s="76">
        <f t="shared" si="5"/>
        <v>0</v>
      </c>
      <c r="N27" s="26">
        <f>VLOOKUP($B27,'County Data'!$B$9:$P$46,14,FALSE)</f>
        <v>0</v>
      </c>
      <c r="O27" s="47">
        <f>IF(N27="Y",$C$3*Input!$C$40/36*O$4,0)</f>
        <v>0</v>
      </c>
      <c r="P27" s="15">
        <f t="shared" si="6"/>
        <v>0</v>
      </c>
      <c r="Q27" s="75">
        <f t="shared" si="7"/>
        <v>0</v>
      </c>
      <c r="R27" s="76">
        <f t="shared" si="8"/>
        <v>0</v>
      </c>
      <c r="S27" s="26">
        <f>VLOOKUP($B27,'County Data'!$B$9:$P$46,15,FALSE)</f>
        <v>0</v>
      </c>
      <c r="T27" s="47">
        <f>IF(S27="Y",$C$3*Input!$C$40/36*T$4,0)</f>
        <v>0</v>
      </c>
      <c r="U27" s="15">
        <f t="shared" si="9"/>
        <v>0</v>
      </c>
      <c r="V27" s="75">
        <f t="shared" si="10"/>
        <v>0</v>
      </c>
      <c r="W27" s="76">
        <f t="shared" si="11"/>
        <v>0</v>
      </c>
      <c r="X27" s="77">
        <f t="shared" si="12"/>
        <v>0</v>
      </c>
      <c r="Y27" s="46">
        <f t="shared" si="13"/>
        <v>0</v>
      </c>
    </row>
    <row r="28" spans="2:25" x14ac:dyDescent="0.45">
      <c r="B28" s="20" t="str">
        <f>+'County Data'!$B$40</f>
        <v>Umatilla</v>
      </c>
      <c r="C28" s="15">
        <f>VLOOKUP($B28,'County Data'!$B$10:$P$46,2,FALSE)</f>
        <v>81160</v>
      </c>
      <c r="D28" s="26" t="str">
        <f>VLOOKUP($B28,'County Data'!$B$9:$P$46,12,FALSE)</f>
        <v>Y</v>
      </c>
      <c r="E28" s="75">
        <f>IF(D28="Y",$C$3*Input!$C$40/36*E$4,0)</f>
        <v>0</v>
      </c>
      <c r="F28" s="15">
        <f t="shared" si="0"/>
        <v>81160</v>
      </c>
      <c r="G28" s="75">
        <f t="shared" si="1"/>
        <v>0</v>
      </c>
      <c r="H28" s="76">
        <f t="shared" si="2"/>
        <v>0</v>
      </c>
      <c r="I28" s="26">
        <f>VLOOKUP($B28,'County Data'!$B$9:$P$46,13,FALSE)</f>
        <v>0</v>
      </c>
      <c r="J28" s="47">
        <f>IF(I28="Y",$C$3*Input!$C$40/36*J$4,0)</f>
        <v>0</v>
      </c>
      <c r="K28" s="15">
        <f t="shared" si="3"/>
        <v>0</v>
      </c>
      <c r="L28" s="75">
        <f t="shared" si="4"/>
        <v>0</v>
      </c>
      <c r="M28" s="76">
        <f t="shared" si="5"/>
        <v>0</v>
      </c>
      <c r="N28" s="26">
        <f>VLOOKUP($B28,'County Data'!$B$9:$P$46,14,FALSE)</f>
        <v>0</v>
      </c>
      <c r="O28" s="47">
        <f>IF(N28="Y",$C$3*Input!$C$40/36*O$4,0)</f>
        <v>0</v>
      </c>
      <c r="P28" s="15">
        <f t="shared" si="6"/>
        <v>0</v>
      </c>
      <c r="Q28" s="75">
        <f t="shared" si="7"/>
        <v>0</v>
      </c>
      <c r="R28" s="76">
        <f t="shared" si="8"/>
        <v>0</v>
      </c>
      <c r="S28" s="26">
        <f>VLOOKUP($B28,'County Data'!$B$9:$P$46,15,FALSE)</f>
        <v>0</v>
      </c>
      <c r="T28" s="47">
        <f>IF(S28="Y",$C$3*Input!$C$40/36*T$4,0)</f>
        <v>0</v>
      </c>
      <c r="U28" s="15">
        <f t="shared" si="9"/>
        <v>0</v>
      </c>
      <c r="V28" s="75">
        <f t="shared" si="10"/>
        <v>0</v>
      </c>
      <c r="W28" s="76">
        <f t="shared" si="11"/>
        <v>0</v>
      </c>
      <c r="X28" s="77">
        <f t="shared" si="12"/>
        <v>0</v>
      </c>
      <c r="Y28" s="46">
        <f t="shared" si="13"/>
        <v>0</v>
      </c>
    </row>
    <row r="29" spans="2:25" x14ac:dyDescent="0.45">
      <c r="B29" s="20" t="str">
        <f>+'County Data'!$B$26</f>
        <v>Josephine</v>
      </c>
      <c r="C29" s="15">
        <f>VLOOKUP($B29,'County Data'!$B$10:$P$46,2,FALSE)</f>
        <v>86750</v>
      </c>
      <c r="D29" s="26" t="str">
        <f>VLOOKUP($B29,'County Data'!$B$9:$P$46,12,FALSE)</f>
        <v>Y</v>
      </c>
      <c r="E29" s="75">
        <f>IF(D29="Y",$C$3*Input!$C$40/36*E$4,0)</f>
        <v>0</v>
      </c>
      <c r="F29" s="15">
        <f t="shared" si="0"/>
        <v>86750</v>
      </c>
      <c r="G29" s="75">
        <f t="shared" si="1"/>
        <v>0</v>
      </c>
      <c r="H29" s="76">
        <f t="shared" si="2"/>
        <v>0</v>
      </c>
      <c r="I29" s="26">
        <f>VLOOKUP($B29,'County Data'!$B$9:$P$46,13,FALSE)</f>
        <v>0</v>
      </c>
      <c r="J29" s="47">
        <f>IF(I29="Y",$C$3*Input!$C$40/36*J$4,0)</f>
        <v>0</v>
      </c>
      <c r="K29" s="15">
        <f t="shared" si="3"/>
        <v>0</v>
      </c>
      <c r="L29" s="75">
        <f t="shared" si="4"/>
        <v>0</v>
      </c>
      <c r="M29" s="76">
        <f t="shared" si="5"/>
        <v>0</v>
      </c>
      <c r="N29" s="26">
        <f>VLOOKUP($B29,'County Data'!$B$9:$P$46,14,FALSE)</f>
        <v>0</v>
      </c>
      <c r="O29" s="47">
        <f>IF(N29="Y",$C$3*Input!$C$40/36*O$4,0)</f>
        <v>0</v>
      </c>
      <c r="P29" s="15">
        <f t="shared" si="6"/>
        <v>0</v>
      </c>
      <c r="Q29" s="75">
        <f t="shared" si="7"/>
        <v>0</v>
      </c>
      <c r="R29" s="76">
        <f t="shared" si="8"/>
        <v>0</v>
      </c>
      <c r="S29" s="26">
        <f>VLOOKUP($B29,'County Data'!$B$9:$P$46,15,FALSE)</f>
        <v>0</v>
      </c>
      <c r="T29" s="47">
        <f>IF(S29="Y",$C$3*Input!$C$40/36*T$4,0)</f>
        <v>0</v>
      </c>
      <c r="U29" s="15">
        <f t="shared" si="9"/>
        <v>0</v>
      </c>
      <c r="V29" s="75">
        <f t="shared" si="10"/>
        <v>0</v>
      </c>
      <c r="W29" s="76">
        <f t="shared" si="11"/>
        <v>0</v>
      </c>
      <c r="X29" s="77">
        <f t="shared" si="12"/>
        <v>0</v>
      </c>
      <c r="Y29" s="46">
        <f t="shared" si="13"/>
        <v>0</v>
      </c>
    </row>
    <row r="30" spans="2:25" x14ac:dyDescent="0.45">
      <c r="B30" s="20" t="str">
        <f>+'County Data'!$B$11</f>
        <v>Benton</v>
      </c>
      <c r="C30" s="15">
        <f>VLOOKUP($B30,'County Data'!$B$10:$P$46,2,FALSE)</f>
        <v>94360</v>
      </c>
      <c r="D30" s="26" t="str">
        <f>VLOOKUP($B30,'County Data'!$B$9:$P$46,12,FALSE)</f>
        <v>Y</v>
      </c>
      <c r="E30" s="75">
        <f>IF(D30="Y",$C$3*Input!$C$40/36*E$4,0)</f>
        <v>0</v>
      </c>
      <c r="F30" s="15">
        <f t="shared" si="0"/>
        <v>94360</v>
      </c>
      <c r="G30" s="75">
        <f t="shared" si="1"/>
        <v>0</v>
      </c>
      <c r="H30" s="76">
        <f t="shared" si="2"/>
        <v>0</v>
      </c>
      <c r="I30" s="26">
        <f>VLOOKUP($B30,'County Data'!$B$9:$P$46,13,FALSE)</f>
        <v>0</v>
      </c>
      <c r="J30" s="47">
        <f>IF(I30="Y",$C$3*Input!$C$40/36*J$4,0)</f>
        <v>0</v>
      </c>
      <c r="K30" s="15">
        <f t="shared" si="3"/>
        <v>0</v>
      </c>
      <c r="L30" s="75">
        <f t="shared" si="4"/>
        <v>0</v>
      </c>
      <c r="M30" s="76">
        <f t="shared" si="5"/>
        <v>0</v>
      </c>
      <c r="N30" s="26">
        <f>VLOOKUP($B30,'County Data'!$B$9:$P$46,14,FALSE)</f>
        <v>0</v>
      </c>
      <c r="O30" s="47">
        <f>IF(N30="Y",$C$3*Input!$C$40/36*O$4,0)</f>
        <v>0</v>
      </c>
      <c r="P30" s="15">
        <f t="shared" si="6"/>
        <v>0</v>
      </c>
      <c r="Q30" s="75">
        <f t="shared" si="7"/>
        <v>0</v>
      </c>
      <c r="R30" s="76">
        <f t="shared" si="8"/>
        <v>0</v>
      </c>
      <c r="S30" s="26">
        <f>VLOOKUP($B30,'County Data'!$B$9:$P$46,15,FALSE)</f>
        <v>0</v>
      </c>
      <c r="T30" s="47">
        <f>IF(S30="Y",$C$3*Input!$C$40/36*T$4,0)</f>
        <v>0</v>
      </c>
      <c r="U30" s="15">
        <f t="shared" si="9"/>
        <v>0</v>
      </c>
      <c r="V30" s="75">
        <f t="shared" si="10"/>
        <v>0</v>
      </c>
      <c r="W30" s="76">
        <f t="shared" si="11"/>
        <v>0</v>
      </c>
      <c r="X30" s="77">
        <f t="shared" si="12"/>
        <v>0</v>
      </c>
      <c r="Y30" s="46">
        <f t="shared" si="13"/>
        <v>0</v>
      </c>
    </row>
    <row r="31" spans="2:25" x14ac:dyDescent="0.45">
      <c r="B31" s="20" t="str">
        <f>+'County Data'!$B$46</f>
        <v>Yamhill</v>
      </c>
      <c r="C31" s="15">
        <f>VLOOKUP($B31,'County Data'!$B$10:$P$46,2,FALSE)</f>
        <v>108060</v>
      </c>
      <c r="D31" s="26" t="str">
        <f>VLOOKUP($B31,'County Data'!$B$9:$P$46,12,FALSE)</f>
        <v>Y</v>
      </c>
      <c r="E31" s="75">
        <f>IF(D31="Y",$C$3*Input!$C$40/36*E$4,0)</f>
        <v>0</v>
      </c>
      <c r="F31" s="15">
        <f t="shared" si="0"/>
        <v>108060</v>
      </c>
      <c r="G31" s="75">
        <f t="shared" si="1"/>
        <v>0</v>
      </c>
      <c r="H31" s="76">
        <f t="shared" si="2"/>
        <v>0</v>
      </c>
      <c r="I31" s="26">
        <f>VLOOKUP($B31,'County Data'!$B$9:$P$46,13,FALSE)</f>
        <v>0</v>
      </c>
      <c r="J31" s="47">
        <f>IF(I31="Y",$C$3*Input!$C$40/36*J$4,0)</f>
        <v>0</v>
      </c>
      <c r="K31" s="15">
        <f t="shared" si="3"/>
        <v>0</v>
      </c>
      <c r="L31" s="75">
        <f t="shared" si="4"/>
        <v>0</v>
      </c>
      <c r="M31" s="76">
        <f t="shared" si="5"/>
        <v>0</v>
      </c>
      <c r="N31" s="26">
        <f>VLOOKUP($B31,'County Data'!$B$9:$P$46,14,FALSE)</f>
        <v>0</v>
      </c>
      <c r="O31" s="47">
        <f>IF(N31="Y",$C$3*Input!$C$40/36*O$4,0)</f>
        <v>0</v>
      </c>
      <c r="P31" s="15">
        <f t="shared" si="6"/>
        <v>0</v>
      </c>
      <c r="Q31" s="75">
        <f t="shared" si="7"/>
        <v>0</v>
      </c>
      <c r="R31" s="76">
        <f t="shared" si="8"/>
        <v>0</v>
      </c>
      <c r="S31" s="26">
        <f>VLOOKUP($B31,'County Data'!$B$9:$P$46,15,FALSE)</f>
        <v>0</v>
      </c>
      <c r="T31" s="47">
        <f>IF(S31="Y",$C$3*Input!$C$40/36*T$4,0)</f>
        <v>0</v>
      </c>
      <c r="U31" s="15">
        <f t="shared" si="9"/>
        <v>0</v>
      </c>
      <c r="V31" s="75">
        <f t="shared" si="10"/>
        <v>0</v>
      </c>
      <c r="W31" s="76">
        <f t="shared" si="11"/>
        <v>0</v>
      </c>
      <c r="X31" s="77">
        <f t="shared" si="12"/>
        <v>0</v>
      </c>
      <c r="Y31" s="46">
        <f t="shared" si="13"/>
        <v>0</v>
      </c>
    </row>
    <row r="32" spans="2:25" x14ac:dyDescent="0.45">
      <c r="B32" s="20" t="str">
        <f>+'County Data'!$B$19</f>
        <v>Douglas</v>
      </c>
      <c r="C32" s="15">
        <f>VLOOKUP($B32,'County Data'!$B$10:$P$46,2,FALSE)</f>
        <v>112250</v>
      </c>
      <c r="D32" s="26" t="str">
        <f>VLOOKUP($B32,'County Data'!$B$9:$P$46,12,FALSE)</f>
        <v>Y</v>
      </c>
      <c r="E32" s="75">
        <f>IF(D32="Y",$C$3*Input!$C$40/36*E$4,0)</f>
        <v>0</v>
      </c>
      <c r="F32" s="15">
        <f t="shared" si="0"/>
        <v>112250</v>
      </c>
      <c r="G32" s="75">
        <f t="shared" si="1"/>
        <v>0</v>
      </c>
      <c r="H32" s="76">
        <f t="shared" si="2"/>
        <v>0</v>
      </c>
      <c r="I32" s="26">
        <f>VLOOKUP($B32,'County Data'!$B$9:$P$46,13,FALSE)</f>
        <v>0</v>
      </c>
      <c r="J32" s="47">
        <f>IF(I32="Y",$C$3*Input!$C$40/36*J$4,0)</f>
        <v>0</v>
      </c>
      <c r="K32" s="15">
        <f t="shared" si="3"/>
        <v>0</v>
      </c>
      <c r="L32" s="75">
        <f t="shared" si="4"/>
        <v>0</v>
      </c>
      <c r="M32" s="76">
        <f t="shared" si="5"/>
        <v>0</v>
      </c>
      <c r="N32" s="26">
        <f>VLOOKUP($B32,'County Data'!$B$9:$P$46,14,FALSE)</f>
        <v>0</v>
      </c>
      <c r="O32" s="47">
        <f>IF(N32="Y",$C$3*Input!$C$40/36*O$4,0)</f>
        <v>0</v>
      </c>
      <c r="P32" s="15">
        <f t="shared" si="6"/>
        <v>0</v>
      </c>
      <c r="Q32" s="75">
        <f t="shared" si="7"/>
        <v>0</v>
      </c>
      <c r="R32" s="76">
        <f t="shared" si="8"/>
        <v>0</v>
      </c>
      <c r="S32" s="26">
        <f>VLOOKUP($B32,'County Data'!$B$9:$P$46,15,FALSE)</f>
        <v>0</v>
      </c>
      <c r="T32" s="47">
        <f>IF(S32="Y",$C$3*Input!$C$40/36*T$4,0)</f>
        <v>0</v>
      </c>
      <c r="U32" s="15">
        <f t="shared" si="9"/>
        <v>0</v>
      </c>
      <c r="V32" s="75">
        <f t="shared" si="10"/>
        <v>0</v>
      </c>
      <c r="W32" s="76">
        <f t="shared" si="11"/>
        <v>0</v>
      </c>
      <c r="X32" s="77">
        <f t="shared" si="12"/>
        <v>0</v>
      </c>
      <c r="Y32" s="46">
        <f t="shared" si="13"/>
        <v>0</v>
      </c>
    </row>
    <row r="33" spans="2:25" x14ac:dyDescent="0.45">
      <c r="B33" s="20" t="str">
        <f>+'County Data'!$B$31</f>
        <v>Linn</v>
      </c>
      <c r="C33" s="15">
        <f>VLOOKUP($B33,'County Data'!$B$10:$P$46,2,FALSE)</f>
        <v>126550</v>
      </c>
      <c r="D33" s="26" t="str">
        <f>VLOOKUP($B33,'County Data'!$B$9:$P$46,12,FALSE)</f>
        <v>Y</v>
      </c>
      <c r="E33" s="75">
        <f>IF(D33="Y",$C$3*Input!$C$40/36*E$4,0)</f>
        <v>0</v>
      </c>
      <c r="F33" s="15">
        <f t="shared" si="0"/>
        <v>126550</v>
      </c>
      <c r="G33" s="75">
        <f t="shared" si="1"/>
        <v>0</v>
      </c>
      <c r="H33" s="76">
        <f t="shared" si="2"/>
        <v>0</v>
      </c>
      <c r="I33" s="26">
        <f>VLOOKUP($B33,'County Data'!$B$9:$P$46,13,FALSE)</f>
        <v>0</v>
      </c>
      <c r="J33" s="47">
        <f>IF(I33="Y",$C$3*Input!$C$40/36*J$4,0)</f>
        <v>0</v>
      </c>
      <c r="K33" s="15">
        <f t="shared" si="3"/>
        <v>0</v>
      </c>
      <c r="L33" s="75">
        <f t="shared" si="4"/>
        <v>0</v>
      </c>
      <c r="M33" s="76">
        <f t="shared" si="5"/>
        <v>0</v>
      </c>
      <c r="N33" s="26">
        <f>VLOOKUP($B33,'County Data'!$B$9:$P$46,14,FALSE)</f>
        <v>0</v>
      </c>
      <c r="O33" s="47">
        <f>IF(N33="Y",$C$3*Input!$C$40/36*O$4,0)</f>
        <v>0</v>
      </c>
      <c r="P33" s="15">
        <f t="shared" si="6"/>
        <v>0</v>
      </c>
      <c r="Q33" s="75">
        <f t="shared" si="7"/>
        <v>0</v>
      </c>
      <c r="R33" s="76">
        <f t="shared" si="8"/>
        <v>0</v>
      </c>
      <c r="S33" s="26">
        <f>VLOOKUP($B33,'County Data'!$B$9:$P$46,15,FALSE)</f>
        <v>0</v>
      </c>
      <c r="T33" s="47">
        <f>IF(S33="Y",$C$3*Input!$C$40/36*T$4,0)</f>
        <v>0</v>
      </c>
      <c r="U33" s="15">
        <f t="shared" si="9"/>
        <v>0</v>
      </c>
      <c r="V33" s="75">
        <f t="shared" si="10"/>
        <v>0</v>
      </c>
      <c r="W33" s="76">
        <f t="shared" si="11"/>
        <v>0</v>
      </c>
      <c r="X33" s="77">
        <f t="shared" si="12"/>
        <v>0</v>
      </c>
      <c r="Y33" s="46">
        <f t="shared" si="13"/>
        <v>0</v>
      </c>
    </row>
    <row r="34" spans="2:25" x14ac:dyDescent="0.45">
      <c r="B34" s="20" t="str">
        <f>+'County Data'!$B$18</f>
        <v>Deschutes</v>
      </c>
      <c r="C34" s="15">
        <f>VLOOKUP($B34,'County Data'!$B$10:$P$46,2,FALSE)</f>
        <v>193000</v>
      </c>
      <c r="D34" s="26" t="str">
        <f>VLOOKUP($B34,'County Data'!$B$9:$P$46,12,FALSE)</f>
        <v>Y</v>
      </c>
      <c r="E34" s="75">
        <f>IF(D34="Y",$C$3*Input!$C$40/36*E$4,0)</f>
        <v>0</v>
      </c>
      <c r="F34" s="15">
        <f t="shared" si="0"/>
        <v>193000</v>
      </c>
      <c r="G34" s="75">
        <f t="shared" si="1"/>
        <v>0</v>
      </c>
      <c r="H34" s="76">
        <f t="shared" si="2"/>
        <v>0</v>
      </c>
      <c r="I34" s="26">
        <f>VLOOKUP($B34,'County Data'!$B$9:$P$46,13,FALSE)</f>
        <v>0</v>
      </c>
      <c r="J34" s="47">
        <f>IF(I34="Y",$C$3*Input!$C$40/36*J$4,0)</f>
        <v>0</v>
      </c>
      <c r="K34" s="15">
        <f t="shared" si="3"/>
        <v>0</v>
      </c>
      <c r="L34" s="75">
        <f t="shared" si="4"/>
        <v>0</v>
      </c>
      <c r="M34" s="76">
        <f t="shared" si="5"/>
        <v>0</v>
      </c>
      <c r="N34" s="26">
        <f>VLOOKUP($B34,'County Data'!$B$9:$P$46,14,FALSE)</f>
        <v>0</v>
      </c>
      <c r="O34" s="47">
        <f>IF(N34="Y",$C$3*Input!$C$40/36*O$4,0)</f>
        <v>0</v>
      </c>
      <c r="P34" s="15">
        <f t="shared" si="6"/>
        <v>0</v>
      </c>
      <c r="Q34" s="75">
        <f t="shared" si="7"/>
        <v>0</v>
      </c>
      <c r="R34" s="76">
        <f t="shared" si="8"/>
        <v>0</v>
      </c>
      <c r="S34" s="26">
        <f>VLOOKUP($B34,'County Data'!$B$9:$P$46,15,FALSE)</f>
        <v>0</v>
      </c>
      <c r="T34" s="47">
        <f>IF(S34="Y",$C$3*Input!$C$40/36*T$4,0)</f>
        <v>0</v>
      </c>
      <c r="U34" s="15">
        <f t="shared" si="9"/>
        <v>0</v>
      </c>
      <c r="V34" s="75">
        <f t="shared" si="10"/>
        <v>0</v>
      </c>
      <c r="W34" s="76">
        <f t="shared" si="11"/>
        <v>0</v>
      </c>
      <c r="X34" s="77">
        <f t="shared" si="12"/>
        <v>0</v>
      </c>
      <c r="Y34" s="46">
        <f t="shared" si="13"/>
        <v>0</v>
      </c>
    </row>
    <row r="35" spans="2:25" x14ac:dyDescent="0.45">
      <c r="B35" s="20" t="str">
        <f>+'County Data'!$B$24</f>
        <v>Jackson</v>
      </c>
      <c r="C35" s="15">
        <f>VLOOKUP($B35,'County Data'!$B$10:$P$46,2,FALSE)</f>
        <v>221290</v>
      </c>
      <c r="D35" s="26" t="str">
        <f>VLOOKUP($B35,'County Data'!$B$9:$P$46,12,FALSE)</f>
        <v>Y</v>
      </c>
      <c r="E35" s="75">
        <f>IF(D35="Y",$C$3*Input!$C$40/36*E$4,0)</f>
        <v>0</v>
      </c>
      <c r="F35" s="15">
        <f t="shared" si="0"/>
        <v>221290</v>
      </c>
      <c r="G35" s="75">
        <f t="shared" si="1"/>
        <v>0</v>
      </c>
      <c r="H35" s="76">
        <f t="shared" si="2"/>
        <v>0</v>
      </c>
      <c r="I35" s="26">
        <f>VLOOKUP($B35,'County Data'!$B$9:$P$46,13,FALSE)</f>
        <v>0</v>
      </c>
      <c r="J35" s="47">
        <f>IF(I35="Y",$C$3*Input!$C$40/36*J$4,0)</f>
        <v>0</v>
      </c>
      <c r="K35" s="15">
        <f t="shared" si="3"/>
        <v>0</v>
      </c>
      <c r="L35" s="75">
        <f t="shared" si="4"/>
        <v>0</v>
      </c>
      <c r="M35" s="76">
        <f t="shared" si="5"/>
        <v>0</v>
      </c>
      <c r="N35" s="26">
        <f>VLOOKUP($B35,'County Data'!$B$9:$P$46,14,FALSE)</f>
        <v>0</v>
      </c>
      <c r="O35" s="47">
        <f>IF(N35="Y",$C$3*Input!$C$40/36*O$4,0)</f>
        <v>0</v>
      </c>
      <c r="P35" s="15">
        <f t="shared" si="6"/>
        <v>0</v>
      </c>
      <c r="Q35" s="75">
        <f t="shared" si="7"/>
        <v>0</v>
      </c>
      <c r="R35" s="76">
        <f t="shared" si="8"/>
        <v>0</v>
      </c>
      <c r="S35" s="26">
        <f>VLOOKUP($B35,'County Data'!$B$9:$P$46,15,FALSE)</f>
        <v>0</v>
      </c>
      <c r="T35" s="47">
        <f>IF(S35="Y",$C$3*Input!$C$40/36*T$4,0)</f>
        <v>0</v>
      </c>
      <c r="U35" s="15">
        <f t="shared" si="9"/>
        <v>0</v>
      </c>
      <c r="V35" s="75">
        <f t="shared" si="10"/>
        <v>0</v>
      </c>
      <c r="W35" s="76">
        <f t="shared" si="11"/>
        <v>0</v>
      </c>
      <c r="X35" s="77">
        <f t="shared" si="12"/>
        <v>0</v>
      </c>
      <c r="Y35" s="46">
        <f t="shared" si="13"/>
        <v>0</v>
      </c>
    </row>
    <row r="36" spans="2:25" x14ac:dyDescent="0.45">
      <c r="B36" s="20" t="str">
        <f>+'County Data'!$B$33</f>
        <v>Marion</v>
      </c>
      <c r="C36" s="15">
        <f>VLOOKUP($B36,'County Data'!$B$10:$P$46,2,FALSE)</f>
        <v>347760</v>
      </c>
      <c r="D36" s="26" t="str">
        <f>VLOOKUP($B36,'County Data'!$B$9:$P$46,12,FALSE)</f>
        <v>Y</v>
      </c>
      <c r="E36" s="75">
        <f>IF(D36="Y",$C$3*Input!$C$40/36*E$4,0)</f>
        <v>0</v>
      </c>
      <c r="F36" s="15">
        <f t="shared" si="0"/>
        <v>347760</v>
      </c>
      <c r="G36" s="75">
        <f t="shared" si="1"/>
        <v>0</v>
      </c>
      <c r="H36" s="76">
        <f t="shared" si="2"/>
        <v>0</v>
      </c>
      <c r="I36" s="26">
        <f>VLOOKUP($B36,'County Data'!$B$9:$P$46,13,FALSE)</f>
        <v>0</v>
      </c>
      <c r="J36" s="47">
        <f>IF(I36="Y",$C$3*Input!$C$40/36*J$4,0)</f>
        <v>0</v>
      </c>
      <c r="K36" s="15">
        <f t="shared" si="3"/>
        <v>0</v>
      </c>
      <c r="L36" s="75">
        <f t="shared" si="4"/>
        <v>0</v>
      </c>
      <c r="M36" s="76">
        <f t="shared" si="5"/>
        <v>0</v>
      </c>
      <c r="N36" s="26">
        <f>VLOOKUP($B36,'County Data'!$B$9:$P$46,14,FALSE)</f>
        <v>0</v>
      </c>
      <c r="O36" s="47">
        <f>IF(N36="Y",$C$3*Input!$C$40/36*O$4,0)</f>
        <v>0</v>
      </c>
      <c r="P36" s="15">
        <f t="shared" si="6"/>
        <v>0</v>
      </c>
      <c r="Q36" s="75">
        <f t="shared" si="7"/>
        <v>0</v>
      </c>
      <c r="R36" s="76">
        <f t="shared" si="8"/>
        <v>0</v>
      </c>
      <c r="S36" s="26">
        <f>VLOOKUP($B36,'County Data'!$B$9:$P$46,15,FALSE)</f>
        <v>0</v>
      </c>
      <c r="T36" s="47">
        <f>IF(S36="Y",$C$3*Input!$C$40/36*T$4,0)</f>
        <v>0</v>
      </c>
      <c r="U36" s="15">
        <f t="shared" si="9"/>
        <v>0</v>
      </c>
      <c r="V36" s="75">
        <f t="shared" si="10"/>
        <v>0</v>
      </c>
      <c r="W36" s="76">
        <f t="shared" si="11"/>
        <v>0</v>
      </c>
      <c r="X36" s="77">
        <f t="shared" si="12"/>
        <v>0</v>
      </c>
      <c r="Y36" s="46">
        <f t="shared" si="13"/>
        <v>0</v>
      </c>
    </row>
    <row r="37" spans="2:25" x14ac:dyDescent="0.45">
      <c r="B37" s="20" t="str">
        <f>+'County Data'!$B$29</f>
        <v>Lane</v>
      </c>
      <c r="C37" s="15">
        <f>VLOOKUP($B37,'County Data'!$B$10:$P$46,2,FALSE)</f>
        <v>378880</v>
      </c>
      <c r="D37" s="26" t="str">
        <f>VLOOKUP($B37,'County Data'!$B$9:$P$46,12,FALSE)</f>
        <v>Y</v>
      </c>
      <c r="E37" s="75">
        <f>IF(D37="Y",$C$3*Input!$C$40/36*E$4,0)</f>
        <v>0</v>
      </c>
      <c r="F37" s="15">
        <f t="shared" si="0"/>
        <v>378880</v>
      </c>
      <c r="G37" s="75">
        <f t="shared" si="1"/>
        <v>0</v>
      </c>
      <c r="H37" s="76">
        <f t="shared" si="2"/>
        <v>0</v>
      </c>
      <c r="I37" s="26">
        <f>VLOOKUP($B37,'County Data'!$B$9:$P$46,13,FALSE)</f>
        <v>0</v>
      </c>
      <c r="J37" s="47">
        <f>IF(I37="Y",$C$3*Input!$C$40/36*J$4,0)</f>
        <v>0</v>
      </c>
      <c r="K37" s="15">
        <f t="shared" si="3"/>
        <v>0</v>
      </c>
      <c r="L37" s="75">
        <f t="shared" si="4"/>
        <v>0</v>
      </c>
      <c r="M37" s="76">
        <f t="shared" si="5"/>
        <v>0</v>
      </c>
      <c r="N37" s="26">
        <f>VLOOKUP($B37,'County Data'!$B$9:$P$46,14,FALSE)</f>
        <v>0</v>
      </c>
      <c r="O37" s="47">
        <f>IF(N37="Y",$C$3*Input!$C$40/36*O$4,0)</f>
        <v>0</v>
      </c>
      <c r="P37" s="15">
        <f t="shared" si="6"/>
        <v>0</v>
      </c>
      <c r="Q37" s="75">
        <f t="shared" si="7"/>
        <v>0</v>
      </c>
      <c r="R37" s="76">
        <f t="shared" si="8"/>
        <v>0</v>
      </c>
      <c r="S37" s="26">
        <f>VLOOKUP($B37,'County Data'!$B$9:$P$46,15,FALSE)</f>
        <v>0</v>
      </c>
      <c r="T37" s="47">
        <f>IF(S37="Y",$C$3*Input!$C$40/36*T$4,0)</f>
        <v>0</v>
      </c>
      <c r="U37" s="15">
        <f t="shared" si="9"/>
        <v>0</v>
      </c>
      <c r="V37" s="75">
        <f t="shared" si="10"/>
        <v>0</v>
      </c>
      <c r="W37" s="76">
        <f t="shared" si="11"/>
        <v>0</v>
      </c>
      <c r="X37" s="77">
        <f t="shared" si="12"/>
        <v>0</v>
      </c>
      <c r="Y37" s="46">
        <f t="shared" si="13"/>
        <v>0</v>
      </c>
    </row>
    <row r="38" spans="2:25" x14ac:dyDescent="0.45">
      <c r="B38" s="20" t="str">
        <f>+'County Data'!$B$12</f>
        <v>Clackamas</v>
      </c>
      <c r="C38" s="15">
        <f>VLOOKUP($B38,'County Data'!$B$10:$P$46,2,FALSE)</f>
        <v>423420</v>
      </c>
      <c r="D38" s="26" t="str">
        <f>VLOOKUP($B38,'County Data'!$B$9:$P$46,12,FALSE)</f>
        <v>Y</v>
      </c>
      <c r="E38" s="75">
        <f>IF(D38="Y",$C$3*Input!$C$40/36*E$4,0)</f>
        <v>0</v>
      </c>
      <c r="F38" s="15">
        <f t="shared" si="0"/>
        <v>423420</v>
      </c>
      <c r="G38" s="75">
        <f t="shared" si="1"/>
        <v>0</v>
      </c>
      <c r="H38" s="76">
        <f t="shared" si="2"/>
        <v>0</v>
      </c>
      <c r="I38" s="26">
        <f>VLOOKUP($B38,'County Data'!$B$9:$P$46,13,FALSE)</f>
        <v>0</v>
      </c>
      <c r="J38" s="47">
        <f>IF(I38="Y",$C$3*Input!$C$40/36*J$4,0)</f>
        <v>0</v>
      </c>
      <c r="K38" s="15">
        <f t="shared" si="3"/>
        <v>0</v>
      </c>
      <c r="L38" s="75">
        <f t="shared" si="4"/>
        <v>0</v>
      </c>
      <c r="M38" s="76">
        <f t="shared" si="5"/>
        <v>0</v>
      </c>
      <c r="N38" s="26">
        <f>VLOOKUP($B38,'County Data'!$B$9:$P$46,14,FALSE)</f>
        <v>0</v>
      </c>
      <c r="O38" s="47">
        <f>IF(N38="Y",$C$3*Input!$C$40/36*O$4,0)</f>
        <v>0</v>
      </c>
      <c r="P38" s="15">
        <f t="shared" si="6"/>
        <v>0</v>
      </c>
      <c r="Q38" s="75">
        <f t="shared" si="7"/>
        <v>0</v>
      </c>
      <c r="R38" s="76">
        <f t="shared" si="8"/>
        <v>0</v>
      </c>
      <c r="S38" s="26">
        <f>VLOOKUP($B38,'County Data'!$B$9:$P$46,15,FALSE)</f>
        <v>0</v>
      </c>
      <c r="T38" s="47">
        <f>IF(S38="Y",$C$3*Input!$C$40/36*T$4,0)</f>
        <v>0</v>
      </c>
      <c r="U38" s="15">
        <f t="shared" si="9"/>
        <v>0</v>
      </c>
      <c r="V38" s="75">
        <f t="shared" si="10"/>
        <v>0</v>
      </c>
      <c r="W38" s="76">
        <f t="shared" si="11"/>
        <v>0</v>
      </c>
      <c r="X38" s="77">
        <f t="shared" si="12"/>
        <v>0</v>
      </c>
      <c r="Y38" s="46">
        <f t="shared" si="13"/>
        <v>0</v>
      </c>
    </row>
    <row r="39" spans="2:25" x14ac:dyDescent="0.45">
      <c r="B39" s="20" t="str">
        <f>+'County Data'!$B$44</f>
        <v>Washington</v>
      </c>
      <c r="C39" s="15">
        <f>VLOOKUP($B39,'County Data'!$B$10:$P$46,2,FALSE)</f>
        <v>613410</v>
      </c>
      <c r="D39" s="26" t="str">
        <f>VLOOKUP($B39,'County Data'!$B$9:$P$46,12,FALSE)</f>
        <v>Y</v>
      </c>
      <c r="E39" s="75">
        <f>IF(D39="Y",$C$3*Input!$C$40/36*E$4,0)</f>
        <v>0</v>
      </c>
      <c r="F39" s="15">
        <f t="shared" si="0"/>
        <v>613410</v>
      </c>
      <c r="G39" s="75">
        <f t="shared" si="1"/>
        <v>0</v>
      </c>
      <c r="H39" s="76">
        <f t="shared" si="2"/>
        <v>0</v>
      </c>
      <c r="I39" s="26">
        <f>VLOOKUP($B39,'County Data'!$B$9:$P$46,13,FALSE)</f>
        <v>0</v>
      </c>
      <c r="J39" s="47">
        <f>IF(I39="Y",$C$3*Input!$C$40/36*J$4,0)</f>
        <v>0</v>
      </c>
      <c r="K39" s="15">
        <f t="shared" si="3"/>
        <v>0</v>
      </c>
      <c r="L39" s="75">
        <f t="shared" si="4"/>
        <v>0</v>
      </c>
      <c r="M39" s="76">
        <f t="shared" si="5"/>
        <v>0</v>
      </c>
      <c r="N39" s="26">
        <f>VLOOKUP($B39,'County Data'!$B$9:$P$46,14,FALSE)</f>
        <v>0</v>
      </c>
      <c r="O39" s="47">
        <f>IF(N39="Y",$C$3*Input!$C$40/36*O$4,0)</f>
        <v>0</v>
      </c>
      <c r="P39" s="15">
        <f t="shared" si="6"/>
        <v>0</v>
      </c>
      <c r="Q39" s="75">
        <f t="shared" si="7"/>
        <v>0</v>
      </c>
      <c r="R39" s="76">
        <f t="shared" si="8"/>
        <v>0</v>
      </c>
      <c r="S39" s="26">
        <f>VLOOKUP($B39,'County Data'!$B$9:$P$46,15,FALSE)</f>
        <v>0</v>
      </c>
      <c r="T39" s="47">
        <f>IF(S39="Y",$C$3*Input!$C$40/36*T$4,0)</f>
        <v>0</v>
      </c>
      <c r="U39" s="15">
        <f t="shared" si="9"/>
        <v>0</v>
      </c>
      <c r="V39" s="75">
        <f t="shared" si="10"/>
        <v>0</v>
      </c>
      <c r="W39" s="76">
        <f t="shared" si="11"/>
        <v>0</v>
      </c>
      <c r="X39" s="77">
        <f t="shared" si="12"/>
        <v>0</v>
      </c>
      <c r="Y39" s="46">
        <f t="shared" si="13"/>
        <v>0</v>
      </c>
    </row>
    <row r="40" spans="2:25" x14ac:dyDescent="0.45">
      <c r="B40" s="20" t="str">
        <f>+'County Data'!$B$35</f>
        <v>Multnomah</v>
      </c>
      <c r="C40" s="15">
        <f>VLOOKUP($B40,'County Data'!$B$10:$P$46,2,FALSE)</f>
        <v>821730</v>
      </c>
      <c r="D40" s="26" t="str">
        <f>VLOOKUP($B40,'County Data'!$B$9:$P$46,12,FALSE)</f>
        <v>Y</v>
      </c>
      <c r="E40" s="75">
        <f>IF(D40="Y",$C$3*Input!$C$40/36*E$4,0)</f>
        <v>0</v>
      </c>
      <c r="F40" s="15">
        <f t="shared" si="0"/>
        <v>821730</v>
      </c>
      <c r="G40" s="75">
        <f t="shared" si="1"/>
        <v>0</v>
      </c>
      <c r="H40" s="76">
        <f t="shared" si="2"/>
        <v>0</v>
      </c>
      <c r="I40" s="26">
        <f>VLOOKUP($B40,'County Data'!$B$9:$P$46,13,FALSE)</f>
        <v>0</v>
      </c>
      <c r="J40" s="47">
        <f>IF(I40="Y",$C$3*Input!$C$40/36*J$4,0)</f>
        <v>0</v>
      </c>
      <c r="K40" s="15">
        <f t="shared" si="3"/>
        <v>0</v>
      </c>
      <c r="L40" s="75">
        <f t="shared" si="4"/>
        <v>0</v>
      </c>
      <c r="M40" s="76">
        <f t="shared" si="5"/>
        <v>0</v>
      </c>
      <c r="N40" s="26">
        <f>VLOOKUP($B40,'County Data'!$B$9:$P$46,14,FALSE)</f>
        <v>0</v>
      </c>
      <c r="O40" s="47">
        <f>IF(N40="Y",$C$3*Input!$C$40/36*O$4,0)</f>
        <v>0</v>
      </c>
      <c r="P40" s="15">
        <f t="shared" si="6"/>
        <v>0</v>
      </c>
      <c r="Q40" s="75">
        <f t="shared" si="7"/>
        <v>0</v>
      </c>
      <c r="R40" s="76">
        <f t="shared" si="8"/>
        <v>0</v>
      </c>
      <c r="S40" s="26">
        <f>VLOOKUP($B40,'County Data'!$B$9:$P$46,15,FALSE)</f>
        <v>0</v>
      </c>
      <c r="T40" s="47">
        <f>IF(S40="Y",$C$3*Input!$C$40/36*T$4,0)</f>
        <v>0</v>
      </c>
      <c r="U40" s="15">
        <f t="shared" si="9"/>
        <v>0</v>
      </c>
      <c r="V40" s="75">
        <f t="shared" si="10"/>
        <v>0</v>
      </c>
      <c r="W40" s="76">
        <f t="shared" si="11"/>
        <v>0</v>
      </c>
      <c r="X40" s="77">
        <f t="shared" si="12"/>
        <v>0</v>
      </c>
      <c r="Y40" s="46">
        <f t="shared" si="13"/>
        <v>0</v>
      </c>
    </row>
    <row r="41" spans="2:25" x14ac:dyDescent="0.45">
      <c r="B41" s="4" t="s">
        <v>2</v>
      </c>
      <c r="C41" s="5">
        <f t="shared" ref="C41:H41" si="14">SUM(C7:C40)</f>
        <v>4236400</v>
      </c>
      <c r="D41" s="5">
        <f>COUNTIF(D7:D40,"Y")</f>
        <v>34</v>
      </c>
      <c r="E41" s="74">
        <f t="shared" si="14"/>
        <v>0</v>
      </c>
      <c r="F41" s="5">
        <f t="shared" si="14"/>
        <v>4236400</v>
      </c>
      <c r="G41" s="74">
        <f t="shared" si="14"/>
        <v>0</v>
      </c>
      <c r="H41" s="74">
        <f t="shared" si="14"/>
        <v>0</v>
      </c>
      <c r="I41" s="5">
        <f>COUNTIF(I7:I40,"Y")</f>
        <v>0</v>
      </c>
      <c r="J41" s="74">
        <f>SUM(J7:J40)</f>
        <v>0</v>
      </c>
      <c r="K41" s="70">
        <f>SUM(K7:K40)+0.001</f>
        <v>1E-3</v>
      </c>
      <c r="L41" s="74">
        <f>SUM(L7:L40)</f>
        <v>0</v>
      </c>
      <c r="M41" s="74">
        <f>SUM(M7:M40)</f>
        <v>0</v>
      </c>
      <c r="N41" s="5">
        <f>COUNTIF(N7:N40,"Y")</f>
        <v>0</v>
      </c>
      <c r="O41" s="74">
        <f>SUM(O7:O40)</f>
        <v>0</v>
      </c>
      <c r="P41" s="70">
        <f>SUM(P7:P40)+0.001</f>
        <v>1E-3</v>
      </c>
      <c r="Q41" s="74">
        <f>SUM(Q7:Q40)</f>
        <v>0</v>
      </c>
      <c r="R41" s="74">
        <f>SUM(R7:R40)</f>
        <v>0</v>
      </c>
      <c r="S41" s="5">
        <f>COUNTIF(S7:S40,"Y")</f>
        <v>0</v>
      </c>
      <c r="T41" s="74">
        <f>SUM(T7:T40)</f>
        <v>0</v>
      </c>
      <c r="U41" s="70">
        <f>SUM(U7:U40)+0.001</f>
        <v>1E-3</v>
      </c>
      <c r="V41" s="74">
        <f>SUM(V7:V40)</f>
        <v>0</v>
      </c>
      <c r="W41" s="74">
        <f>SUM(W7:W40)</f>
        <v>0</v>
      </c>
      <c r="X41" s="74">
        <f>SUM(X7:X40)</f>
        <v>0</v>
      </c>
      <c r="Y41" s="73">
        <f t="shared" si="13"/>
        <v>0</v>
      </c>
    </row>
    <row r="42" spans="2:25" x14ac:dyDescent="0.45">
      <c r="E42" s="38"/>
    </row>
  </sheetData>
  <sortState xmlns:xlrd2="http://schemas.microsoft.com/office/spreadsheetml/2017/richdata2" ref="B7:H40">
    <sortCondition ref="C7:C40"/>
  </sortState>
  <mergeCells count="4">
    <mergeCell ref="D5:H5"/>
    <mergeCell ref="I5:M5"/>
    <mergeCell ref="N5:R5"/>
    <mergeCell ref="S5:W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53"/>
  <sheetViews>
    <sheetView showGridLines="0" tabSelected="1" topLeftCell="A5" zoomScale="80" zoomScaleNormal="80" workbookViewId="0">
      <selection activeCell="W27" sqref="W27"/>
    </sheetView>
  </sheetViews>
  <sheetFormatPr defaultRowHeight="14.25" x14ac:dyDescent="0.45"/>
  <cols>
    <col min="1" max="1" width="3" bestFit="1" customWidth="1"/>
    <col min="2" max="2" width="22" customWidth="1"/>
    <col min="3" max="4" width="14.265625" customWidth="1"/>
    <col min="5" max="5" width="14.265625" hidden="1" customWidth="1"/>
    <col min="6" max="11" width="14.265625" customWidth="1"/>
    <col min="12" max="12" width="16.3984375" bestFit="1" customWidth="1"/>
    <col min="13" max="14" width="14.265625" hidden="1" customWidth="1"/>
    <col min="15" max="15" width="13.3984375" bestFit="1" customWidth="1"/>
    <col min="16" max="16" width="11.59765625" bestFit="1" customWidth="1"/>
    <col min="17" max="17" width="11" customWidth="1"/>
    <col min="18" max="18" width="10.1328125" bestFit="1" customWidth="1"/>
    <col min="19" max="19" width="11.86328125" customWidth="1"/>
    <col min="22" max="22" width="12" customWidth="1"/>
    <col min="23" max="23" width="12.59765625" customWidth="1"/>
  </cols>
  <sheetData>
    <row r="1" spans="2:23" ht="15" hidden="1" customHeight="1" x14ac:dyDescent="0.45"/>
    <row r="2" spans="2:23" hidden="1" x14ac:dyDescent="0.45"/>
    <row r="3" spans="2:23" hidden="1" x14ac:dyDescent="0.45"/>
    <row r="4" spans="2:23" hidden="1" x14ac:dyDescent="0.45"/>
    <row r="5" spans="2:23" ht="18" x14ac:dyDescent="0.55000000000000004">
      <c r="B5" s="24" t="s">
        <v>139</v>
      </c>
      <c r="C5" s="24"/>
    </row>
    <row r="6" spans="2:23" ht="18" x14ac:dyDescent="0.55000000000000004">
      <c r="B6" s="184" t="s">
        <v>149</v>
      </c>
      <c r="C6" s="184"/>
      <c r="D6" s="185"/>
      <c r="E6" s="93"/>
      <c r="F6" s="185"/>
      <c r="G6" s="185"/>
    </row>
    <row r="7" spans="2:23" ht="18" x14ac:dyDescent="0.45">
      <c r="B7" s="222" t="s">
        <v>148</v>
      </c>
      <c r="C7" s="23"/>
    </row>
    <row r="8" spans="2:23" ht="15.75" x14ac:dyDescent="0.45">
      <c r="B8" s="23"/>
      <c r="C8" s="23"/>
    </row>
    <row r="9" spans="2:23" ht="18" x14ac:dyDescent="0.5">
      <c r="B9" s="189" t="s">
        <v>147</v>
      </c>
      <c r="C9" s="188"/>
      <c r="D9" s="185"/>
      <c r="E9" s="185"/>
      <c r="F9" s="185"/>
      <c r="G9" s="185"/>
      <c r="H9" s="210">
        <f>Input!C5</f>
        <v>17000000</v>
      </c>
      <c r="I9" s="185"/>
      <c r="J9" s="185"/>
      <c r="K9" s="185"/>
      <c r="L9" s="185"/>
      <c r="M9" s="185"/>
      <c r="N9" s="185"/>
      <c r="O9" s="185"/>
      <c r="P9" s="185"/>
      <c r="Q9" s="185"/>
    </row>
    <row r="10" spans="2:23" ht="16.149999999999999" thickBot="1" x14ac:dyDescent="0.5">
      <c r="B10" s="23"/>
      <c r="C10" s="23"/>
    </row>
    <row r="11" spans="2:23" ht="34.5" customHeight="1" thickTop="1" x14ac:dyDescent="0.45">
      <c r="B11" s="94"/>
      <c r="C11" s="95"/>
      <c r="D11" s="215" t="s">
        <v>115</v>
      </c>
      <c r="E11" s="216"/>
      <c r="F11" s="216"/>
      <c r="G11" s="216"/>
      <c r="H11" s="216"/>
      <c r="I11" s="216"/>
      <c r="J11" s="216"/>
      <c r="K11" s="216"/>
      <c r="L11" s="217"/>
      <c r="M11" s="218" t="s">
        <v>116</v>
      </c>
      <c r="N11" s="219"/>
      <c r="O11" s="215" t="s">
        <v>117</v>
      </c>
      <c r="P11" s="216"/>
      <c r="Q11" s="216"/>
      <c r="R11" s="217"/>
      <c r="S11" s="96"/>
    </row>
    <row r="12" spans="2:23" s="2" customFormat="1" ht="30" x14ac:dyDescent="0.45">
      <c r="B12" s="97" t="s">
        <v>7</v>
      </c>
      <c r="C12" s="98" t="s">
        <v>128</v>
      </c>
      <c r="D12" s="133" t="s">
        <v>20</v>
      </c>
      <c r="E12" s="98" t="s">
        <v>1</v>
      </c>
      <c r="F12" s="98" t="s">
        <v>16</v>
      </c>
      <c r="G12" s="98" t="s">
        <v>17</v>
      </c>
      <c r="H12" s="98" t="s">
        <v>129</v>
      </c>
      <c r="I12" s="98" t="s">
        <v>130</v>
      </c>
      <c r="J12" s="98" t="s">
        <v>120</v>
      </c>
      <c r="K12" s="98" t="s">
        <v>131</v>
      </c>
      <c r="L12" s="134" t="s">
        <v>132</v>
      </c>
      <c r="M12" s="170" t="s">
        <v>118</v>
      </c>
      <c r="N12" s="171" t="s">
        <v>119</v>
      </c>
      <c r="O12" s="147" t="s">
        <v>39</v>
      </c>
      <c r="P12" s="99" t="s">
        <v>5</v>
      </c>
      <c r="Q12" s="99" t="s">
        <v>15</v>
      </c>
      <c r="R12" s="148" t="s">
        <v>12</v>
      </c>
      <c r="S12" s="100" t="s">
        <v>37</v>
      </c>
    </row>
    <row r="13" spans="2:23" x14ac:dyDescent="0.45">
      <c r="B13" s="101" t="s">
        <v>81</v>
      </c>
      <c r="C13" s="102">
        <f>VLOOKUP($B13,'County Data'!$B$10:$C$46,2,FALSE)</f>
        <v>1440</v>
      </c>
      <c r="D13" s="135">
        <f>VLOOKUP($B13,Floor!$B$6:$M$45,4,FALSE)</f>
        <v>50000</v>
      </c>
      <c r="E13" s="103">
        <f>VLOOKUP($B13,Population!$B$7:$F$40,4,FALSE)</f>
        <v>0</v>
      </c>
      <c r="F13" s="103">
        <f>VLOOKUP($B13,Burden!$B$6:$H$40,6,FALSE)</f>
        <v>796.67724519594276</v>
      </c>
      <c r="G13" s="103">
        <f>VLOOKUP($B13,'Health Status'!$B$6:$H$40,6,FALSE)</f>
        <v>1562.9164689217343</v>
      </c>
      <c r="H13" s="103">
        <f>VLOOKUP($B13,Ethnicity!$B$6:$H$40,6,FALSE)</f>
        <v>311.75014389992037</v>
      </c>
      <c r="I13" s="103">
        <f>VLOOKUP($B13,Poverty!$B$6:$H$40,6,FALSE)</f>
        <v>571.74611479027999</v>
      </c>
      <c r="J13" s="103">
        <f>VLOOKUP($B13,Rurality!$B$6:$H$40,6,FALSE)</f>
        <v>4228.6024035548444</v>
      </c>
      <c r="K13" s="103">
        <f>VLOOKUP($B13,Education!$B$6:$H$40,6,FALSE)</f>
        <v>323.11266615383403</v>
      </c>
      <c r="L13" s="136">
        <f>VLOOKUP($B13,Language!$B$6:$H$40,6,FALSE)</f>
        <v>9.8955672228795937</v>
      </c>
      <c r="M13" s="172">
        <f>VLOOKUP($B13,Matching!$B$7:$L$40,10,FALSE)</f>
        <v>0</v>
      </c>
      <c r="N13" s="173">
        <f>VLOOKUP($B13,Incentives!$B$7:$Y$40,23,FALSE)</f>
        <v>0</v>
      </c>
      <c r="O13" s="149">
        <f>SUM(D13:N13)</f>
        <v>57804.700609739433</v>
      </c>
      <c r="P13" s="104">
        <f t="shared" ref="P13:P46" si="0">O13/$O$47</f>
        <v>3.4002765064552617E-3</v>
      </c>
      <c r="Q13" s="104">
        <f>C13/$C$47</f>
        <v>3.3991124539703524E-4</v>
      </c>
      <c r="R13" s="150">
        <f>O13/C13</f>
        <v>40.14215320120794</v>
      </c>
      <c r="S13" s="105"/>
      <c r="U13" s="38"/>
      <c r="V13" s="22"/>
      <c r="W13" s="160"/>
    </row>
    <row r="14" spans="2:23" x14ac:dyDescent="0.45">
      <c r="B14" s="101" t="s">
        <v>79</v>
      </c>
      <c r="C14" s="102">
        <f>VLOOKUP($B14,'County Data'!$B$10:$C$46,2,FALSE)</f>
        <v>7150</v>
      </c>
      <c r="D14" s="135">
        <f>VLOOKUP($B14,Floor!$B$6:$M$45,4,FALSE)</f>
        <v>50000</v>
      </c>
      <c r="E14" s="103">
        <f>VLOOKUP($B14,Population!$B$7:$F$40,4,FALSE)</f>
        <v>0</v>
      </c>
      <c r="F14" s="103">
        <f>VLOOKUP($B14,Burden!$B$6:$H$40,6,FALSE)</f>
        <v>4122.0812492777704</v>
      </c>
      <c r="G14" s="103">
        <f>VLOOKUP($B14,'Health Status'!$B$6:$H$40,6,FALSE)</f>
        <v>3461.9366686746707</v>
      </c>
      <c r="H14" s="103">
        <f>VLOOKUP($B14,Ethnicity!$B$6:$H$40,6,FALSE)</f>
        <v>1238.9566542180928</v>
      </c>
      <c r="I14" s="103">
        <f>VLOOKUP($B14,Poverty!$B$6:$H$40,6,FALSE)</f>
        <v>2101.2306802656576</v>
      </c>
      <c r="J14" s="103">
        <f>VLOOKUP($B14,Rurality!$B$6:$H$40,6,FALSE)</f>
        <v>20996.185545428572</v>
      </c>
      <c r="K14" s="103">
        <f>VLOOKUP($B14,Education!$B$6:$H$40,6,FALSE)</f>
        <v>1519.0612549022417</v>
      </c>
      <c r="L14" s="136">
        <f>VLOOKUP($B14,Language!$B$6:$H$40,6,FALSE)</f>
        <v>728.12207535612299</v>
      </c>
      <c r="M14" s="172">
        <f>VLOOKUP($B14,Matching!$B$7:$L$40,10,FALSE)</f>
        <v>0</v>
      </c>
      <c r="N14" s="173">
        <f>VLOOKUP($B14,Incentives!$B$7:$Y$40,23,FALSE)</f>
        <v>0</v>
      </c>
      <c r="O14" s="149">
        <f t="shared" ref="O14:O46" si="1">SUM(D14:N14)</f>
        <v>84167.574128123131</v>
      </c>
      <c r="P14" s="104">
        <f t="shared" si="0"/>
        <v>4.9510337722425378E-3</v>
      </c>
      <c r="Q14" s="104">
        <f t="shared" ref="Q14:Q46" si="2">C14/$C$47</f>
        <v>1.6877537531866679E-3</v>
      </c>
      <c r="R14" s="150">
        <f t="shared" ref="R14:R46" si="3">O14/C14</f>
        <v>11.77168868924799</v>
      </c>
      <c r="S14" s="105"/>
      <c r="U14" s="38"/>
      <c r="V14" s="22"/>
      <c r="W14" s="160"/>
    </row>
    <row r="15" spans="2:23" x14ac:dyDescent="0.45">
      <c r="B15" s="101" t="s">
        <v>61</v>
      </c>
      <c r="C15" s="102">
        <f>VLOOKUP($B15,'County Data'!$B$10:$C$46,2,FALSE)</f>
        <v>7360</v>
      </c>
      <c r="D15" s="135">
        <f>VLOOKUP($B15,Floor!$B$6:$M$45,4,FALSE)</f>
        <v>50000</v>
      </c>
      <c r="E15" s="103">
        <f>VLOOKUP($B15,Population!$B$7:$F$40,4,FALSE)</f>
        <v>0</v>
      </c>
      <c r="F15" s="103">
        <f>VLOOKUP($B15,Burden!$B$6:$H$40,6,FALSE)</f>
        <v>5973.3651456274902</v>
      </c>
      <c r="G15" s="103">
        <f>VLOOKUP($B15,'Health Status'!$B$6:$H$40,6,FALSE)</f>
        <v>2917.8600211539501</v>
      </c>
      <c r="H15" s="103">
        <f>VLOOKUP($B15,Ethnicity!$B$6:$H$40,6,FALSE)</f>
        <v>2346.9620322261912</v>
      </c>
      <c r="I15" s="103">
        <f>VLOOKUP($B15,Poverty!$B$6:$H$40,6,FALSE)</f>
        <v>2383.6525366802261</v>
      </c>
      <c r="J15" s="103">
        <f>VLOOKUP($B15,Rurality!$B$6:$H$40,6,FALSE)</f>
        <v>9574.4955310711812</v>
      </c>
      <c r="K15" s="103">
        <f>VLOOKUP($B15,Education!$B$6:$H$40,6,FALSE)</f>
        <v>2129.8742252665875</v>
      </c>
      <c r="L15" s="136">
        <f>VLOOKUP($B15,Language!$B$6:$H$40,6,FALSE)</f>
        <v>1041.8814744749063</v>
      </c>
      <c r="M15" s="172">
        <f>VLOOKUP($B15,Matching!$B$7:$L$40,10,FALSE)</f>
        <v>0</v>
      </c>
      <c r="N15" s="173">
        <f>VLOOKUP($B15,Incentives!$B$7:$Y$40,23,FALSE)</f>
        <v>0</v>
      </c>
      <c r="O15" s="149">
        <f t="shared" si="1"/>
        <v>76368.090966500531</v>
      </c>
      <c r="P15" s="104">
        <f t="shared" si="0"/>
        <v>4.4922406450882673E-3</v>
      </c>
      <c r="Q15" s="104">
        <f t="shared" si="2"/>
        <v>1.7373241431404023E-3</v>
      </c>
      <c r="R15" s="150">
        <f t="shared" si="3"/>
        <v>10.376099316100616</v>
      </c>
      <c r="S15" s="105"/>
      <c r="U15" s="38"/>
      <c r="V15" s="22"/>
      <c r="W15" s="160"/>
    </row>
    <row r="16" spans="2:23" x14ac:dyDescent="0.45">
      <c r="B16" s="101" t="s">
        <v>60</v>
      </c>
      <c r="C16" s="102">
        <f>VLOOKUP($B16,'County Data'!$B$10:$C$46,2,FALSE)</f>
        <v>7360</v>
      </c>
      <c r="D16" s="135">
        <f>VLOOKUP($B16,Floor!$B$6:$M$45,4,FALSE)</f>
        <v>50000</v>
      </c>
      <c r="E16" s="103">
        <f>VLOOKUP($B16,Population!$B$7:$F$40,4,FALSE)</f>
        <v>0</v>
      </c>
      <c r="F16" s="103">
        <f>VLOOKUP($B16,Burden!$B$6:$H$40,6,FALSE)</f>
        <v>4946.5716020147411</v>
      </c>
      <c r="G16" s="103">
        <f>VLOOKUP($B16,'Health Status'!$B$6:$H$40,6,FALSE)</f>
        <v>3707.1172399906741</v>
      </c>
      <c r="H16" s="103">
        <f>VLOOKUP($B16,Ethnicity!$B$6:$H$40,6,FALSE)</f>
        <v>1373.1447939996171</v>
      </c>
      <c r="I16" s="103">
        <f>VLOOKUP($B16,Poverty!$B$6:$H$40,6,FALSE)</f>
        <v>2380.1153623682267</v>
      </c>
      <c r="J16" s="103">
        <f>VLOOKUP($B16,Rurality!$B$6:$H$40,6,FALSE)</f>
        <v>21612.856729280316</v>
      </c>
      <c r="K16" s="103">
        <f>VLOOKUP($B16,Education!$B$6:$H$40,6,FALSE)</f>
        <v>2340.2909861105295</v>
      </c>
      <c r="L16" s="136">
        <f>VLOOKUP($B16,Language!$B$6:$H$40,6,FALSE)</f>
        <v>430.77791733097081</v>
      </c>
      <c r="M16" s="172">
        <f>VLOOKUP($B16,Matching!$B$7:$L$40,10,FALSE)</f>
        <v>0</v>
      </c>
      <c r="N16" s="173">
        <f>VLOOKUP($B16,Incentives!$B$7:$Y$40,23,FALSE)</f>
        <v>0</v>
      </c>
      <c r="O16" s="149">
        <f t="shared" si="1"/>
        <v>86790.874631095066</v>
      </c>
      <c r="P16" s="104">
        <f t="shared" si="0"/>
        <v>5.1053455665350054E-3</v>
      </c>
      <c r="Q16" s="104">
        <f t="shared" si="2"/>
        <v>1.7373241431404023E-3</v>
      </c>
      <c r="R16" s="150">
        <f t="shared" si="3"/>
        <v>11.792238400964004</v>
      </c>
      <c r="S16" s="105"/>
      <c r="U16" s="38"/>
      <c r="V16" s="22"/>
      <c r="W16" s="160"/>
    </row>
    <row r="17" spans="1:23" x14ac:dyDescent="0.45">
      <c r="B17" s="101" t="s">
        <v>67</v>
      </c>
      <c r="C17" s="102">
        <f>VLOOKUP($B17,'County Data'!$B$10:$C$46,2,FALSE)</f>
        <v>8080</v>
      </c>
      <c r="D17" s="135">
        <f>VLOOKUP($B17,Floor!$B$6:$M$45,4,FALSE)</f>
        <v>50000</v>
      </c>
      <c r="E17" s="103">
        <f>VLOOKUP($B17,Population!$B$7:$F$40,4,FALSE)</f>
        <v>0</v>
      </c>
      <c r="F17" s="103">
        <f>VLOOKUP($B17,Burden!$B$6:$H$40,6,FALSE)</f>
        <v>6371.372955179213</v>
      </c>
      <c r="G17" s="103">
        <f>VLOOKUP($B17,'Health Status'!$B$6:$H$40,6,FALSE)</f>
        <v>4699.9279510372644</v>
      </c>
      <c r="H17" s="103">
        <f>VLOOKUP($B17,Ethnicity!$B$6:$H$40,6,FALSE)</f>
        <v>2537.1566463260051</v>
      </c>
      <c r="I17" s="103">
        <f>VLOOKUP($B17,Poverty!$B$6:$H$40,6,FALSE)</f>
        <v>3095.989555255594</v>
      </c>
      <c r="J17" s="103">
        <f>VLOOKUP($B17,Rurality!$B$6:$H$40,6,FALSE)</f>
        <v>15019.290970359551</v>
      </c>
      <c r="K17" s="103">
        <f>VLOOKUP($B17,Education!$B$6:$H$40,6,FALSE)</f>
        <v>2998.5701725526205</v>
      </c>
      <c r="L17" s="136">
        <f>VLOOKUP($B17,Language!$B$6:$H$40,6,FALSE)</f>
        <v>1349.0200865222153</v>
      </c>
      <c r="M17" s="172">
        <f>VLOOKUP($B17,Matching!$B$7:$L$40,10,FALSE)</f>
        <v>0</v>
      </c>
      <c r="N17" s="173">
        <f>VLOOKUP($B17,Incentives!$B$7:$Y$40,23,FALSE)</f>
        <v>0</v>
      </c>
      <c r="O17" s="149">
        <f t="shared" si="1"/>
        <v>86071.328337232451</v>
      </c>
      <c r="P17" s="104">
        <f t="shared" si="0"/>
        <v>5.063019313954851E-3</v>
      </c>
      <c r="Q17" s="104">
        <f t="shared" si="2"/>
        <v>1.9072797658389198E-3</v>
      </c>
      <c r="R17" s="150">
        <f t="shared" si="3"/>
        <v>10.65239212094461</v>
      </c>
      <c r="S17" s="105"/>
      <c r="U17" s="38"/>
      <c r="V17" s="22"/>
      <c r="W17" s="160"/>
    </row>
    <row r="18" spans="1:23" x14ac:dyDescent="0.45">
      <c r="B18" s="101" t="s">
        <v>73</v>
      </c>
      <c r="C18" s="102">
        <f>VLOOKUP($B18,'County Data'!$B$10:$C$46,2,FALSE)</f>
        <v>12680</v>
      </c>
      <c r="D18" s="135">
        <f>VLOOKUP($B18,Floor!$B$6:$M$45,4,FALSE)</f>
        <v>50000</v>
      </c>
      <c r="E18" s="103">
        <f>VLOOKUP($B18,Population!$B$7:$F$40,4,FALSE)</f>
        <v>0</v>
      </c>
      <c r="F18" s="103">
        <f>VLOOKUP($B18,Burden!$B$6:$H$40,6,FALSE)</f>
        <v>7154.1260392069908</v>
      </c>
      <c r="G18" s="103">
        <f>VLOOKUP($B18,'Health Status'!$B$6:$H$40,6,FALSE)</f>
        <v>12855.84584516261</v>
      </c>
      <c r="H18" s="103">
        <f>VLOOKUP($B18,Ethnicity!$B$6:$H$40,6,FALSE)</f>
        <v>5073.0780493275706</v>
      </c>
      <c r="I18" s="103">
        <f>VLOOKUP($B18,Poverty!$B$6:$H$40,6,FALSE)</f>
        <v>4371.744556652151</v>
      </c>
      <c r="J18" s="103">
        <f>VLOOKUP($B18,Rurality!$B$6:$H$40,6,FALSE)</f>
        <v>17090.953764567792</v>
      </c>
      <c r="K18" s="103">
        <f>VLOOKUP($B18,Education!$B$6:$H$40,6,FALSE)</f>
        <v>8865.4748565072168</v>
      </c>
      <c r="L18" s="136">
        <f>VLOOKUP($B18,Language!$B$6:$H$40,6,FALSE)</f>
        <v>18066.533112636691</v>
      </c>
      <c r="M18" s="172">
        <f>VLOOKUP($B18,Matching!$B$7:$L$40,10,FALSE)</f>
        <v>0</v>
      </c>
      <c r="N18" s="173">
        <f>VLOOKUP($B18,Incentives!$B$7:$Y$40,23,FALSE)</f>
        <v>0</v>
      </c>
      <c r="O18" s="149">
        <f t="shared" si="1"/>
        <v>123477.75622406103</v>
      </c>
      <c r="P18" s="104">
        <f t="shared" si="0"/>
        <v>7.2633974249447682E-3</v>
      </c>
      <c r="Q18" s="104">
        <f t="shared" si="2"/>
        <v>2.9931073553016714E-3</v>
      </c>
      <c r="R18" s="150">
        <f t="shared" si="3"/>
        <v>9.73799339306475</v>
      </c>
      <c r="S18" s="105"/>
      <c r="U18" s="38"/>
      <c r="V18" s="22"/>
      <c r="W18" s="160"/>
    </row>
    <row r="19" spans="1:23" x14ac:dyDescent="0.45">
      <c r="B19" s="101" t="s">
        <v>50</v>
      </c>
      <c r="C19" s="102">
        <f>VLOOKUP($B19,'County Data'!$B$10:$C$46,2,FALSE)</f>
        <v>16820</v>
      </c>
      <c r="D19" s="135">
        <f>VLOOKUP($B19,Floor!$B$6:$M$45,4,FALSE)</f>
        <v>50000</v>
      </c>
      <c r="E19" s="103">
        <f>VLOOKUP($B19,Population!$B$7:$F$40,4,FALSE)</f>
        <v>0</v>
      </c>
      <c r="F19" s="103">
        <f>VLOOKUP($B19,Burden!$B$6:$H$40,6,FALSE)</f>
        <v>12296.744353741993</v>
      </c>
      <c r="G19" s="103">
        <f>VLOOKUP($B19,'Health Status'!$B$6:$H$40,6,FALSE)</f>
        <v>10330.33972965073</v>
      </c>
      <c r="H19" s="103">
        <f>VLOOKUP($B19,Ethnicity!$B$6:$H$40,6,FALSE)</f>
        <v>4167.8826867415901</v>
      </c>
      <c r="I19" s="103">
        <f>VLOOKUP($B19,Poverty!$B$6:$H$40,6,FALSE)</f>
        <v>5265.1047704636621</v>
      </c>
      <c r="J19" s="103">
        <f>VLOOKUP($B19,Rurality!$B$6:$H$40,6,FALSE)</f>
        <v>20250.894371802027</v>
      </c>
      <c r="K19" s="103">
        <f>VLOOKUP($B19,Education!$B$6:$H$40,6,FALSE)</f>
        <v>4948.4355214658444</v>
      </c>
      <c r="L19" s="136">
        <f>VLOOKUP($B19,Language!$B$6:$H$40,6,FALSE)</f>
        <v>2150.4943733958989</v>
      </c>
      <c r="M19" s="172">
        <f>VLOOKUP($B19,Matching!$B$7:$L$40,10,FALSE)</f>
        <v>0</v>
      </c>
      <c r="N19" s="173">
        <f>VLOOKUP($B19,Incentives!$B$7:$Y$40,23,FALSE)</f>
        <v>0</v>
      </c>
      <c r="O19" s="149">
        <f t="shared" si="1"/>
        <v>109409.89580726174</v>
      </c>
      <c r="P19" s="104">
        <f t="shared" si="0"/>
        <v>6.4358762239565739E-3</v>
      </c>
      <c r="Q19" s="104">
        <f t="shared" si="2"/>
        <v>3.9703521858181472E-3</v>
      </c>
      <c r="R19" s="150">
        <f t="shared" si="3"/>
        <v>6.5047500479941585</v>
      </c>
      <c r="S19" s="106">
        <f>SUM(O13:O19)/SUM(C13:C19)</f>
        <v>10.249469875250671</v>
      </c>
      <c r="U19" s="38"/>
      <c r="V19" s="22"/>
      <c r="W19" s="160"/>
    </row>
    <row r="20" spans="1:23" x14ac:dyDescent="0.45">
      <c r="B20" s="107" t="s">
        <v>56</v>
      </c>
      <c r="C20" s="108">
        <f>VLOOKUP($B20,'County Data'!$B$10:$C$46,2,FALSE)</f>
        <v>23440</v>
      </c>
      <c r="D20" s="137">
        <f>VLOOKUP($B20,Floor!$B$6:$M$45,4,FALSE)</f>
        <v>75000</v>
      </c>
      <c r="E20" s="109">
        <f>VLOOKUP($B20,Population!$B$7:$F$40,4,FALSE)</f>
        <v>0</v>
      </c>
      <c r="F20" s="109">
        <f>VLOOKUP($B20,Burden!$B$6:$H$40,6,FALSE)</f>
        <v>16613.303139246156</v>
      </c>
      <c r="G20" s="109">
        <f>VLOOKUP($B20,'Health Status'!$B$6:$H$40,6,FALSE)</f>
        <v>17519.118569633349</v>
      </c>
      <c r="H20" s="109">
        <f>VLOOKUP($B20,Ethnicity!$B$6:$H$40,6,FALSE)</f>
        <v>5934.4274452523978</v>
      </c>
      <c r="I20" s="109">
        <f>VLOOKUP($B20,Poverty!$B$6:$H$40,6,FALSE)</f>
        <v>7400.9167353448138</v>
      </c>
      <c r="J20" s="109">
        <f>VLOOKUP($B20,Rurality!$B$6:$H$40,6,FALSE)</f>
        <v>33039.480113108519</v>
      </c>
      <c r="K20" s="109">
        <f>VLOOKUP($B20,Education!$B$6:$H$40,6,FALSE)</f>
        <v>8256.5195469202517</v>
      </c>
      <c r="L20" s="138">
        <f>VLOOKUP($B20,Language!$B$6:$H$40,6,FALSE)</f>
        <v>2810.8747237532066</v>
      </c>
      <c r="M20" s="174">
        <f>VLOOKUP($B20,Matching!$B$7:$L$40,10,FALSE)</f>
        <v>0</v>
      </c>
      <c r="N20" s="175">
        <f>VLOOKUP($B20,Incentives!$B$7:$Y$40,23,FALSE)</f>
        <v>0</v>
      </c>
      <c r="O20" s="151">
        <f t="shared" si="1"/>
        <v>166574.64027325867</v>
      </c>
      <c r="P20" s="110">
        <f t="shared" si="0"/>
        <v>9.7985082513681598E-3</v>
      </c>
      <c r="Q20" s="110">
        <f t="shared" si="2"/>
        <v>5.5329997167406289E-3</v>
      </c>
      <c r="R20" s="152">
        <f t="shared" si="3"/>
        <v>7.1064266328182031</v>
      </c>
      <c r="S20" s="105"/>
      <c r="U20" s="38"/>
      <c r="V20" s="22"/>
      <c r="W20" s="160"/>
    </row>
    <row r="21" spans="1:23" x14ac:dyDescent="0.45">
      <c r="A21" s="40"/>
      <c r="B21" s="107" t="s">
        <v>57</v>
      </c>
      <c r="C21" s="108">
        <f>VLOOKUP($B21,'County Data'!$B$10:$C$46,2,FALSE)</f>
        <v>23000</v>
      </c>
      <c r="D21" s="137">
        <f>VLOOKUP($B21,Floor!$B$6:$M$45,4,FALSE)</f>
        <v>75000</v>
      </c>
      <c r="E21" s="109">
        <f>VLOOKUP($B21,Population!$B$7:$F$40,4,FALSE)</f>
        <v>0</v>
      </c>
      <c r="F21" s="109">
        <f>VLOOKUP($B21,Burden!$B$6:$H$40,6,FALSE)</f>
        <v>19284.932042377546</v>
      </c>
      <c r="G21" s="109">
        <f>VLOOKUP($B21,'Health Status'!$B$6:$H$40,6,FALSE)</f>
        <v>15247.014454800355</v>
      </c>
      <c r="H21" s="109">
        <f>VLOOKUP($B21,Ethnicity!$B$6:$H$40,6,FALSE)</f>
        <v>7481.9309881114123</v>
      </c>
      <c r="I21" s="109">
        <f>VLOOKUP($B21,Poverty!$B$6:$H$40,6,FALSE)</f>
        <v>6507.7740053728112</v>
      </c>
      <c r="J21" s="109">
        <f>VLOOKUP($B21,Rurality!$B$6:$H$40,6,FALSE)</f>
        <v>26138.048606973385</v>
      </c>
      <c r="K21" s="109">
        <f>VLOOKUP($B21,Education!$B$6:$H$40,6,FALSE)</f>
        <v>7130.1673739333446</v>
      </c>
      <c r="L21" s="138">
        <f>VLOOKUP($B21,Language!$B$6:$H$40,6,FALSE)</f>
        <v>2812.2802592119815</v>
      </c>
      <c r="M21" s="174">
        <f>VLOOKUP($B21,Matching!$B$7:$L$40,10,FALSE)</f>
        <v>0</v>
      </c>
      <c r="N21" s="175">
        <f>VLOOKUP($B21,Incentives!$B$7:$Y$40,23,FALSE)</f>
        <v>0</v>
      </c>
      <c r="O21" s="151">
        <f>SUM(D21:N21)</f>
        <v>159602.14773078082</v>
      </c>
      <c r="P21" s="110">
        <f t="shared" si="0"/>
        <v>9.3883616312224038E-3</v>
      </c>
      <c r="Q21" s="110">
        <f t="shared" si="2"/>
        <v>5.4291379473137566E-3</v>
      </c>
      <c r="R21" s="152">
        <f>O21/C21</f>
        <v>6.9392238143817746</v>
      </c>
      <c r="S21" s="105"/>
      <c r="U21" s="38"/>
      <c r="V21" s="22"/>
      <c r="W21" s="160"/>
    </row>
    <row r="22" spans="1:23" x14ac:dyDescent="0.45">
      <c r="A22" s="40"/>
      <c r="B22" s="107" t="s">
        <v>64</v>
      </c>
      <c r="C22" s="108">
        <f>VLOOKUP($B22,'County Data'!$B$10:$C$46,2,FALSE)</f>
        <v>23840</v>
      </c>
      <c r="D22" s="137">
        <f>VLOOKUP($B22,Floor!$B$6:$M$45,4,FALSE)</f>
        <v>75000</v>
      </c>
      <c r="E22" s="109">
        <f>VLOOKUP($B22,Population!$B$7:$F$40,4,FALSE)</f>
        <v>0</v>
      </c>
      <c r="F22" s="109">
        <f>VLOOKUP($B22,Burden!$B$6:$H$40,6,FALSE)</f>
        <v>17362.386361901437</v>
      </c>
      <c r="G22" s="109">
        <f>VLOOKUP($B22,'Health Status'!$B$6:$H$40,6,FALSE)</f>
        <v>10613.377870957871</v>
      </c>
      <c r="H22" s="109">
        <f>VLOOKUP($B22,Ethnicity!$B$6:$H$40,6,FALSE)</f>
        <v>24194.586321565333</v>
      </c>
      <c r="I22" s="109">
        <f>VLOOKUP($B22,Poverty!$B$6:$H$40,6,FALSE)</f>
        <v>8491.6055111006299</v>
      </c>
      <c r="J22" s="109">
        <f>VLOOKUP($B22,Rurality!$B$6:$H$40,6,FALSE)</f>
        <v>44174.329931091437</v>
      </c>
      <c r="K22" s="109">
        <f>VLOOKUP($B22,Education!$B$6:$H$40,6,FALSE)</f>
        <v>9454.9209809634303</v>
      </c>
      <c r="L22" s="138">
        <f>VLOOKUP($B22,Language!$B$6:$H$40,6,FALSE)</f>
        <v>11006.377785010178</v>
      </c>
      <c r="M22" s="174">
        <f>VLOOKUP($B22,Matching!$B$7:$L$40,10,FALSE)</f>
        <v>0</v>
      </c>
      <c r="N22" s="175">
        <f>VLOOKUP($B22,Incentives!$B$7:$Y$40,23,FALSE)</f>
        <v>0</v>
      </c>
      <c r="O22" s="151">
        <f t="shared" si="1"/>
        <v>200297.58476259033</v>
      </c>
      <c r="P22" s="110">
        <f t="shared" si="0"/>
        <v>1.1782210868387669E-2</v>
      </c>
      <c r="Q22" s="110">
        <f t="shared" si="2"/>
        <v>5.6274195071286939E-3</v>
      </c>
      <c r="R22" s="152">
        <f t="shared" si="3"/>
        <v>8.4017443272898635</v>
      </c>
      <c r="S22" s="105"/>
      <c r="U22" s="38"/>
      <c r="V22" s="22"/>
      <c r="W22" s="160"/>
    </row>
    <row r="23" spans="1:23" x14ac:dyDescent="0.45">
      <c r="B23" s="107" t="s">
        <v>62</v>
      </c>
      <c r="C23" s="108">
        <f>VLOOKUP($B23,'County Data'!$B$10:$C$46,2,FALSE)</f>
        <v>25480</v>
      </c>
      <c r="D23" s="137">
        <f>VLOOKUP($B23,Floor!$B$6:$M$45,4,FALSE)</f>
        <v>75000</v>
      </c>
      <c r="E23" s="109">
        <f>VLOOKUP($B23,Population!$B$7:$F$40,4,FALSE)</f>
        <v>0</v>
      </c>
      <c r="F23" s="109">
        <f>VLOOKUP($B23,Burden!$B$6:$H$40,6,FALSE)</f>
        <v>10255.291864108063</v>
      </c>
      <c r="G23" s="109">
        <f>VLOOKUP($B23,'Health Status'!$B$6:$H$40,6,FALSE)</f>
        <v>13579.071662950411</v>
      </c>
      <c r="H23" s="109">
        <f>VLOOKUP($B23,Ethnicity!$B$6:$H$40,6,FALSE)</f>
        <v>11979.749385539995</v>
      </c>
      <c r="I23" s="109">
        <f>VLOOKUP($B23,Poverty!$B$6:$H$40,6,FALSE)</f>
        <v>6193.0923069968112</v>
      </c>
      <c r="J23" s="109">
        <f>VLOOKUP($B23,Rurality!$B$6:$H$40,6,FALSE)</f>
        <v>39057.486100434326</v>
      </c>
      <c r="K23" s="109">
        <f>VLOOKUP($B23,Education!$B$6:$H$40,6,FALSE)</f>
        <v>13670.246667149589</v>
      </c>
      <c r="L23" s="138">
        <f>VLOOKUP($B23,Language!$B$6:$H$40,6,FALSE)</f>
        <v>36728.722524962774</v>
      </c>
      <c r="M23" s="174">
        <f>VLOOKUP($B23,Matching!$B$7:$L$40,10,FALSE)</f>
        <v>0</v>
      </c>
      <c r="N23" s="175">
        <f>VLOOKUP($B23,Incentives!$B$7:$Y$40,23,FALSE)</f>
        <v>0</v>
      </c>
      <c r="O23" s="151">
        <f t="shared" si="1"/>
        <v>206463.66051214197</v>
      </c>
      <c r="P23" s="110">
        <f t="shared" si="0"/>
        <v>1.214492120659659E-2</v>
      </c>
      <c r="Q23" s="110">
        <f t="shared" si="2"/>
        <v>6.014540647719762E-3</v>
      </c>
      <c r="R23" s="152">
        <f t="shared" si="3"/>
        <v>8.1029694078548662</v>
      </c>
      <c r="S23" s="105"/>
      <c r="U23" s="38"/>
      <c r="V23" s="22"/>
      <c r="W23" s="160"/>
    </row>
    <row r="24" spans="1:23" x14ac:dyDescent="0.45">
      <c r="B24" s="107" t="s">
        <v>76</v>
      </c>
      <c r="C24" s="108">
        <f>VLOOKUP($B24,'County Data'!$B$10:$C$46,2,FALSE)</f>
        <v>26500</v>
      </c>
      <c r="D24" s="137">
        <f>VLOOKUP($B24,Floor!$B$6:$M$45,4,FALSE)</f>
        <v>75000</v>
      </c>
      <c r="E24" s="109">
        <f>VLOOKUP($B24,Population!$B$7:$F$40,4,FALSE)</f>
        <v>0</v>
      </c>
      <c r="F24" s="109">
        <f>VLOOKUP($B24,Burden!$B$6:$H$40,6,FALSE)</f>
        <v>18458.239773755606</v>
      </c>
      <c r="G24" s="109">
        <f>VLOOKUP($B24,'Health Status'!$B$6:$H$40,6,FALSE)</f>
        <v>14553.229803031414</v>
      </c>
      <c r="H24" s="109">
        <f>VLOOKUP($B24,Ethnicity!$B$6:$H$40,6,FALSE)</f>
        <v>6980.6941908936196</v>
      </c>
      <c r="I24" s="109">
        <f>VLOOKUP($B24,Poverty!$B$6:$H$40,6,FALSE)</f>
        <v>7911.2912735355349</v>
      </c>
      <c r="J24" s="109">
        <f>VLOOKUP($B24,Rurality!$B$6:$H$40,6,FALSE)</f>
        <v>54161.349118864964</v>
      </c>
      <c r="K24" s="109">
        <f>VLOOKUP($B24,Education!$B$6:$H$40,6,FALSE)</f>
        <v>7266.5032440691148</v>
      </c>
      <c r="L24" s="138">
        <f>VLOOKUP($B24,Language!$B$6:$H$40,6,FALSE)</f>
        <v>7761.0798889631833</v>
      </c>
      <c r="M24" s="174">
        <f>VLOOKUP($B24,Matching!$B$7:$L$40,10,FALSE)</f>
        <v>0</v>
      </c>
      <c r="N24" s="175">
        <f>VLOOKUP($B24,Incentives!$B$7:$Y$40,23,FALSE)</f>
        <v>0</v>
      </c>
      <c r="O24" s="151">
        <f t="shared" si="1"/>
        <v>192092.38729311342</v>
      </c>
      <c r="P24" s="110">
        <f t="shared" si="0"/>
        <v>1.1299552193712557E-2</v>
      </c>
      <c r="Q24" s="110">
        <f t="shared" si="2"/>
        <v>6.2553111132093286E-3</v>
      </c>
      <c r="R24" s="152">
        <f t="shared" si="3"/>
        <v>7.248769331815601</v>
      </c>
      <c r="S24" s="105"/>
      <c r="U24" s="38"/>
      <c r="V24" s="22"/>
      <c r="W24" s="160"/>
    </row>
    <row r="25" spans="1:23" x14ac:dyDescent="0.45">
      <c r="B25" s="107" t="s">
        <v>78</v>
      </c>
      <c r="C25" s="108">
        <f>VLOOKUP($B25,'County Data'!$B$10:$C$46,2,FALSE)</f>
        <v>26840</v>
      </c>
      <c r="D25" s="137">
        <f>VLOOKUP($B25,Floor!$B$6:$M$45,4,FALSE)</f>
        <v>75000</v>
      </c>
      <c r="E25" s="109">
        <f>VLOOKUP($B25,Population!$B$7:$F$40,4,FALSE)</f>
        <v>0</v>
      </c>
      <c r="F25" s="109">
        <f>VLOOKUP($B25,Burden!$B$6:$H$40,6,FALSE)</f>
        <v>17706.972937285165</v>
      </c>
      <c r="G25" s="109">
        <f>VLOOKUP($B25,'Health Status'!$B$6:$H$40,6,FALSE)</f>
        <v>9245.1760452867002</v>
      </c>
      <c r="H25" s="109">
        <f>VLOOKUP($B25,Ethnicity!$B$6:$H$40,6,FALSE)</f>
        <v>7477.6169469356983</v>
      </c>
      <c r="I25" s="109">
        <f>VLOOKUP($B25,Poverty!$B$6:$H$40,6,FALSE)</f>
        <v>9595.568822865238</v>
      </c>
      <c r="J25" s="109">
        <f>VLOOKUP($B25,Rurality!$B$6:$H$40,6,FALSE)</f>
        <v>33181.725599516991</v>
      </c>
      <c r="K25" s="109">
        <f>VLOOKUP($B25,Education!$B$6:$H$40,6,FALSE)</f>
        <v>5846.401776830925</v>
      </c>
      <c r="L25" s="138">
        <f>VLOOKUP($B25,Language!$B$6:$H$40,6,FALSE)</f>
        <v>4025.3451567379038</v>
      </c>
      <c r="M25" s="174">
        <f>VLOOKUP($B25,Matching!$B$7:$L$40,10,FALSE)</f>
        <v>0</v>
      </c>
      <c r="N25" s="175">
        <f>VLOOKUP($B25,Incentives!$B$7:$Y$40,23,FALSE)</f>
        <v>0</v>
      </c>
      <c r="O25" s="151">
        <f t="shared" si="1"/>
        <v>162078.80728545864</v>
      </c>
      <c r="P25" s="110">
        <f t="shared" si="0"/>
        <v>9.5340474873799215E-3</v>
      </c>
      <c r="Q25" s="110">
        <f t="shared" si="2"/>
        <v>6.3355679350391844E-3</v>
      </c>
      <c r="R25" s="152">
        <f t="shared" si="3"/>
        <v>6.0387036991601581</v>
      </c>
      <c r="S25" s="105"/>
      <c r="U25" s="38"/>
      <c r="V25" s="22"/>
      <c r="W25" s="160"/>
    </row>
    <row r="26" spans="1:23" x14ac:dyDescent="0.45">
      <c r="B26" s="111" t="s">
        <v>85</v>
      </c>
      <c r="C26" s="108">
        <f>VLOOKUP($B26,'County Data'!$B$10:$C$46,2,FALSE)</f>
        <v>31000</v>
      </c>
      <c r="D26" s="137">
        <f>VLOOKUP($B26,Floor!$B$6:$M$45,4,FALSE)</f>
        <v>175000</v>
      </c>
      <c r="E26" s="109">
        <f>VLOOKUP($B26,Population!$B$7:$F$40,4,FALSE)</f>
        <v>0</v>
      </c>
      <c r="F26" s="109">
        <f>VLOOKUP($B26,Burden!$B$6:$H$40,6,FALSE)</f>
        <v>21448.067176551362</v>
      </c>
      <c r="G26" s="109">
        <f>VLOOKUP($B26,'Health Status'!$B$6:$H$40,6,FALSE)</f>
        <v>13901.689649965028</v>
      </c>
      <c r="H26" s="109">
        <f>VLOOKUP($B26,Ethnicity!$B$6:$H$40,6,FALSE)</f>
        <v>13008.351046546068</v>
      </c>
      <c r="I26" s="109">
        <f>VLOOKUP($B26,Poverty!$B$6:$H$40,6,FALSE)</f>
        <v>8678.8664372704061</v>
      </c>
      <c r="J26" s="109">
        <f>VLOOKUP($B26,Rurality!$B$6:$H$40,6,FALSE)</f>
        <v>37778.451334536854</v>
      </c>
      <c r="K26" s="109">
        <f>VLOOKUP($B26,Education!$B$6:$H$40,6,FALSE)</f>
        <v>11865.104246555375</v>
      </c>
      <c r="L26" s="138">
        <f>VLOOKUP($B26,Language!$B$6:$H$40,6,FALSE)</f>
        <v>15757.950239745387</v>
      </c>
      <c r="M26" s="174">
        <f>VLOOKUP($B26,Matching!$B$7:$L$40,10,FALSE)</f>
        <v>0</v>
      </c>
      <c r="N26" s="175">
        <f>VLOOKUP($B26,Incentives!$B$7:$Y$40,23,FALSE)</f>
        <v>0</v>
      </c>
      <c r="O26" s="151">
        <f t="shared" si="1"/>
        <v>297438.48013117042</v>
      </c>
      <c r="P26" s="110">
        <f t="shared" si="0"/>
        <v>1.7496381184186498E-2</v>
      </c>
      <c r="Q26" s="110">
        <f t="shared" si="2"/>
        <v>7.3175337550750634E-3</v>
      </c>
      <c r="R26" s="152">
        <f t="shared" si="3"/>
        <v>9.5947896816506582</v>
      </c>
      <c r="S26" s="105"/>
      <c r="U26" s="38"/>
      <c r="V26" s="22"/>
      <c r="W26" s="160"/>
    </row>
    <row r="27" spans="1:23" x14ac:dyDescent="0.45">
      <c r="B27" s="107" t="s">
        <v>71</v>
      </c>
      <c r="C27" s="108">
        <f>VLOOKUP($B27,'County Data'!$B$10:$C$46,2,FALSE)</f>
        <v>32030</v>
      </c>
      <c r="D27" s="137">
        <f>VLOOKUP($B27,Floor!$B$6:$M$45,4,FALSE)</f>
        <v>75000</v>
      </c>
      <c r="E27" s="109">
        <f>VLOOKUP($B27,Population!$B$7:$F$40,4,FALSE)</f>
        <v>0</v>
      </c>
      <c r="F27" s="109">
        <f>VLOOKUP($B27,Burden!$B$6:$H$40,6,FALSE)</f>
        <v>20974.500545086925</v>
      </c>
      <c r="G27" s="109">
        <f>VLOOKUP($B27,'Health Status'!$B$6:$H$40,6,FALSE)</f>
        <v>28206.749271003031</v>
      </c>
      <c r="H27" s="109">
        <f>VLOOKUP($B27,Ethnicity!$B$6:$H$40,6,FALSE)</f>
        <v>12277.597400192193</v>
      </c>
      <c r="I27" s="109">
        <f>VLOOKUP($B27,Poverty!$B$6:$H$40,6,FALSE)</f>
        <v>13728.89200036609</v>
      </c>
      <c r="J27" s="109">
        <f>VLOOKUP($B27,Rurality!$B$6:$H$40,6,FALSE)</f>
        <v>45523.606481359064</v>
      </c>
      <c r="K27" s="109">
        <f>VLOOKUP($B27,Education!$B$6:$H$40,6,FALSE)</f>
        <v>17330.389663000806</v>
      </c>
      <c r="L27" s="138">
        <f>VLOOKUP($B27,Language!$B$6:$H$40,6,FALSE)</f>
        <v>23389.448969176534</v>
      </c>
      <c r="M27" s="174">
        <f>VLOOKUP($B27,Matching!$B$7:$L$40,10,FALSE)</f>
        <v>0</v>
      </c>
      <c r="N27" s="175">
        <f>VLOOKUP($B27,Incentives!$B$7:$Y$40,23,FALSE)</f>
        <v>0</v>
      </c>
      <c r="O27" s="151">
        <f t="shared" si="1"/>
        <v>236431.18433018465</v>
      </c>
      <c r="P27" s="110">
        <f t="shared" si="0"/>
        <v>1.3907716725304983E-2</v>
      </c>
      <c r="Q27" s="110">
        <f t="shared" si="2"/>
        <v>7.5606647153243318E-3</v>
      </c>
      <c r="R27" s="152">
        <f t="shared" si="3"/>
        <v>7.3815543031590591</v>
      </c>
      <c r="S27" s="105"/>
      <c r="U27" s="38"/>
      <c r="V27" s="22"/>
      <c r="W27" s="160"/>
    </row>
    <row r="28" spans="1:23" x14ac:dyDescent="0.45">
      <c r="B28" s="107" t="s">
        <v>53</v>
      </c>
      <c r="C28" s="108">
        <f>VLOOKUP($B28,'County Data'!$B$10:$C$46,2,FALSE)</f>
        <v>39330</v>
      </c>
      <c r="D28" s="137">
        <f>VLOOKUP($B28,Floor!$B$6:$M$45,4,FALSE)</f>
        <v>75000</v>
      </c>
      <c r="E28" s="109">
        <f>VLOOKUP($B28,Population!$B$7:$F$40,4,FALSE)</f>
        <v>0</v>
      </c>
      <c r="F28" s="109">
        <f>VLOOKUP($B28,Burden!$B$6:$H$40,6,FALSE)</f>
        <v>27253.881907779571</v>
      </c>
      <c r="G28" s="109">
        <f>VLOOKUP($B28,'Health Status'!$B$6:$H$40,6,FALSE)</f>
        <v>19170.878468903386</v>
      </c>
      <c r="H28" s="109">
        <f>VLOOKUP($B28,Ethnicity!$B$6:$H$40,6,FALSE)</f>
        <v>12136.71806932755</v>
      </c>
      <c r="I28" s="109">
        <f>VLOOKUP($B28,Poverty!$B$6:$H$40,6,FALSE)</f>
        <v>10590.407913147499</v>
      </c>
      <c r="J28" s="109">
        <f>VLOOKUP($B28,Rurality!$B$6:$H$40,6,FALSE)</f>
        <v>45042.544227365768</v>
      </c>
      <c r="K28" s="109">
        <f>VLOOKUP($B28,Education!$B$6:$H$40,6,FALSE)</f>
        <v>9397.4371863712749</v>
      </c>
      <c r="L28" s="138">
        <f>VLOOKUP($B28,Language!$B$6:$H$40,6,FALSE)</f>
        <v>11236.954690477356</v>
      </c>
      <c r="M28" s="174">
        <f>VLOOKUP($B28,Matching!$B$7:$L$40,10,FALSE)</f>
        <v>0</v>
      </c>
      <c r="N28" s="175">
        <f>VLOOKUP($B28,Incentives!$B$7:$Y$40,23,FALSE)</f>
        <v>0</v>
      </c>
      <c r="O28" s="151">
        <f t="shared" si="1"/>
        <v>209828.8224633724</v>
      </c>
      <c r="P28" s="110">
        <f t="shared" si="0"/>
        <v>1.2342871909610144E-2</v>
      </c>
      <c r="Q28" s="110">
        <f t="shared" si="2"/>
        <v>9.2838258899065242E-3</v>
      </c>
      <c r="R28" s="152">
        <f t="shared" si="3"/>
        <v>5.3350832052726265</v>
      </c>
      <c r="S28" s="105"/>
      <c r="U28" s="38"/>
      <c r="V28" s="22"/>
      <c r="W28" s="160"/>
    </row>
    <row r="29" spans="1:23" x14ac:dyDescent="0.45">
      <c r="B29" s="107" t="s">
        <v>69</v>
      </c>
      <c r="C29" s="108">
        <f>VLOOKUP($B29,'County Data'!$B$10:$C$46,2,FALSE)</f>
        <v>48260</v>
      </c>
      <c r="D29" s="137">
        <f>VLOOKUP($B29,Floor!$B$6:$M$45,4,FALSE)</f>
        <v>75000</v>
      </c>
      <c r="E29" s="109">
        <f>VLOOKUP($B29,Population!$B$7:$F$40,4,FALSE)</f>
        <v>0</v>
      </c>
      <c r="F29" s="109">
        <f>VLOOKUP($B29,Burden!$B$6:$H$40,6,FALSE)</f>
        <v>39992.29329516444</v>
      </c>
      <c r="G29" s="109">
        <f>VLOOKUP($B29,'Health Status'!$B$6:$H$40,6,FALSE)</f>
        <v>33403.635005623546</v>
      </c>
      <c r="H29" s="109">
        <f>VLOOKUP($B29,Ethnicity!$B$6:$H$40,6,FALSE)</f>
        <v>20002.823740491454</v>
      </c>
      <c r="I29" s="109">
        <f>VLOOKUP($B29,Poverty!$B$6:$H$40,6,FALSE)</f>
        <v>15913.053537579612</v>
      </c>
      <c r="J29" s="109">
        <f>VLOOKUP($B29,Rurality!$B$6:$H$40,6,FALSE)</f>
        <v>53285.558576617601</v>
      </c>
      <c r="K29" s="109">
        <f>VLOOKUP($B29,Education!$B$6:$H$40,6,FALSE)</f>
        <v>12867.438490481427</v>
      </c>
      <c r="L29" s="138">
        <f>VLOOKUP($B29,Language!$B$6:$H$40,6,FALSE)</f>
        <v>8898.6727771510305</v>
      </c>
      <c r="M29" s="174">
        <f>VLOOKUP($B29,Matching!$B$7:$L$40,10,FALSE)</f>
        <v>0</v>
      </c>
      <c r="N29" s="175">
        <f>VLOOKUP($B29,Incentives!$B$7:$Y$40,23,FALSE)</f>
        <v>0</v>
      </c>
      <c r="O29" s="151">
        <f t="shared" si="1"/>
        <v>259363.47542310911</v>
      </c>
      <c r="P29" s="110">
        <f t="shared" si="0"/>
        <v>1.5256675024888774E-2</v>
      </c>
      <c r="Q29" s="110">
        <f t="shared" si="2"/>
        <v>1.1391747710320083E-2</v>
      </c>
      <c r="R29" s="152">
        <f t="shared" si="3"/>
        <v>5.3742949735414234</v>
      </c>
      <c r="S29" s="105"/>
      <c r="U29" s="38"/>
      <c r="V29" s="22"/>
      <c r="W29" s="160"/>
    </row>
    <row r="30" spans="1:23" x14ac:dyDescent="0.45">
      <c r="B30" s="107" t="s">
        <v>54</v>
      </c>
      <c r="C30" s="108">
        <f>VLOOKUP($B30,'County Data'!$B$10:$C$46,2,FALSE)</f>
        <v>52750</v>
      </c>
      <c r="D30" s="137">
        <f>VLOOKUP($B30,Floor!$B$6:$M$45,4,FALSE)</f>
        <v>75000</v>
      </c>
      <c r="E30" s="109">
        <f>VLOOKUP($B30,Population!$B$7:$F$40,4,FALSE)</f>
        <v>0</v>
      </c>
      <c r="F30" s="109">
        <f>VLOOKUP($B30,Burden!$B$6:$H$40,6,FALSE)</f>
        <v>32134.215781069895</v>
      </c>
      <c r="G30" s="109">
        <f>VLOOKUP($B30,'Health Status'!$B$6:$H$40,6,FALSE)</f>
        <v>35140.111372676329</v>
      </c>
      <c r="H30" s="109">
        <f>VLOOKUP($B30,Ethnicity!$B$6:$H$40,6,FALSE)</f>
        <v>13257.546566287605</v>
      </c>
      <c r="I30" s="109">
        <f>VLOOKUP($B30,Poverty!$B$6:$H$40,6,FALSE)</f>
        <v>13027.87229945041</v>
      </c>
      <c r="J30" s="109">
        <f>VLOOKUP($B30,Rurality!$B$6:$H$40,6,FALSE)</f>
        <v>67537.240749554083</v>
      </c>
      <c r="K30" s="109">
        <f>VLOOKUP($B30,Education!$B$6:$H$40,6,FALSE)</f>
        <v>14322.108649692338</v>
      </c>
      <c r="L30" s="138">
        <f>VLOOKUP($B30,Language!$B$6:$H$40,6,FALSE)</f>
        <v>6633.3589972397467</v>
      </c>
      <c r="M30" s="174">
        <f>VLOOKUP($B30,Matching!$B$7:$L$40,10,FALSE)</f>
        <v>0</v>
      </c>
      <c r="N30" s="175">
        <f>VLOOKUP($B30,Incentives!$B$7:$Y$40,23,FALSE)</f>
        <v>0</v>
      </c>
      <c r="O30" s="151">
        <f t="shared" si="1"/>
        <v>257052.45441597039</v>
      </c>
      <c r="P30" s="110">
        <f t="shared" si="0"/>
        <v>1.5120732612704144E-2</v>
      </c>
      <c r="Q30" s="110">
        <f t="shared" si="2"/>
        <v>1.2451609857426117E-2</v>
      </c>
      <c r="R30" s="152">
        <f t="shared" si="3"/>
        <v>4.8730323112032305</v>
      </c>
      <c r="S30" s="105"/>
      <c r="U30" s="38"/>
      <c r="V30" s="22"/>
      <c r="W30" s="160"/>
    </row>
    <row r="31" spans="1:23" x14ac:dyDescent="0.45">
      <c r="B31" s="107" t="s">
        <v>55</v>
      </c>
      <c r="C31" s="108">
        <f>VLOOKUP($B31,'County Data'!$B$10:$C$46,2,FALSE)</f>
        <v>63290</v>
      </c>
      <c r="D31" s="137">
        <f>VLOOKUP($B31,Floor!$B$6:$M$45,4,FALSE)</f>
        <v>75000</v>
      </c>
      <c r="E31" s="109">
        <f>VLOOKUP($B31,Population!$B$7:$F$40,4,FALSE)</f>
        <v>0</v>
      </c>
      <c r="F31" s="109">
        <f>VLOOKUP($B31,Burden!$B$6:$H$40,6,FALSE)</f>
        <v>52767.45911194152</v>
      </c>
      <c r="G31" s="109">
        <f>VLOOKUP($B31,'Health Status'!$B$6:$H$40,6,FALSE)</f>
        <v>44012.463469028829</v>
      </c>
      <c r="H31" s="109">
        <f>VLOOKUP($B31,Ethnicity!$B$6:$H$40,6,FALSE)</f>
        <v>25942.578800416592</v>
      </c>
      <c r="I31" s="109">
        <f>VLOOKUP($B31,Poverty!$B$6:$H$40,6,FALSE)</f>
        <v>22201.658038660516</v>
      </c>
      <c r="J31" s="109">
        <f>VLOOKUP($B31,Rurality!$B$6:$H$40,6,FALSE)</f>
        <v>71367.532298929626</v>
      </c>
      <c r="K31" s="109">
        <f>VLOOKUP($B31,Education!$B$6:$H$40,6,FALSE)</f>
        <v>19990.08355516801</v>
      </c>
      <c r="L31" s="138">
        <f>VLOOKUP($B31,Language!$B$6:$H$40,6,FALSE)</f>
        <v>8741.23181325324</v>
      </c>
      <c r="M31" s="174">
        <f>VLOOKUP($B31,Matching!$B$7:$L$40,10,FALSE)</f>
        <v>0</v>
      </c>
      <c r="N31" s="175">
        <f>VLOOKUP($B31,Incentives!$B$7:$Y$40,23,FALSE)</f>
        <v>0</v>
      </c>
      <c r="O31" s="151">
        <f t="shared" si="1"/>
        <v>320023.00708739832</v>
      </c>
      <c r="P31" s="110">
        <f t="shared" si="0"/>
        <v>1.8824882769846965E-2</v>
      </c>
      <c r="Q31" s="110">
        <f t="shared" si="2"/>
        <v>1.4939571334151637E-2</v>
      </c>
      <c r="R31" s="152">
        <f t="shared" si="3"/>
        <v>5.0564545281624005</v>
      </c>
      <c r="S31" s="105"/>
      <c r="U31" s="38"/>
      <c r="V31" s="22"/>
      <c r="W31" s="160"/>
    </row>
    <row r="32" spans="1:23" x14ac:dyDescent="0.45">
      <c r="B32" s="107" t="s">
        <v>66</v>
      </c>
      <c r="C32" s="108">
        <f>VLOOKUP($B32,'County Data'!$B$10:$C$46,2,FALSE)</f>
        <v>68190</v>
      </c>
      <c r="D32" s="137">
        <f>VLOOKUP($B32,Floor!$B$6:$M$45,4,FALSE)</f>
        <v>75000</v>
      </c>
      <c r="E32" s="109">
        <f>VLOOKUP($B32,Population!$B$7:$F$40,4,FALSE)</f>
        <v>0</v>
      </c>
      <c r="F32" s="109">
        <f>VLOOKUP($B32,Burden!$B$6:$H$40,6,FALSE)</f>
        <v>55934.683782404078</v>
      </c>
      <c r="G32" s="109">
        <f>VLOOKUP($B32,'Health Status'!$B$6:$H$40,6,FALSE)</f>
        <v>38556.423982752232</v>
      </c>
      <c r="H32" s="109">
        <f>VLOOKUP($B32,Ethnicity!$B$6:$H$40,6,FALSE)</f>
        <v>28720.388502426958</v>
      </c>
      <c r="I32" s="109">
        <f>VLOOKUP($B32,Poverty!$B$6:$H$40,6,FALSE)</f>
        <v>26567.738983098938</v>
      </c>
      <c r="J32" s="109">
        <f>VLOOKUP($B32,Rurality!$B$6:$H$40,6,FALSE)</f>
        <v>75290.970562361268</v>
      </c>
      <c r="K32" s="109">
        <f>VLOOKUP($B32,Education!$B$6:$H$40,6,FALSE)</f>
        <v>24325.202979186128</v>
      </c>
      <c r="L32" s="138">
        <f>VLOOKUP($B32,Language!$B$6:$H$40,6,FALSE)</f>
        <v>21261.223152602026</v>
      </c>
      <c r="M32" s="174">
        <f>VLOOKUP($B32,Matching!$B$7:$L$40,10,FALSE)</f>
        <v>0</v>
      </c>
      <c r="N32" s="175">
        <f>VLOOKUP($B32,Incentives!$B$7:$Y$40,23,FALSE)</f>
        <v>0</v>
      </c>
      <c r="O32" s="151">
        <f t="shared" si="1"/>
        <v>345656.63194483169</v>
      </c>
      <c r="P32" s="110">
        <f t="shared" si="0"/>
        <v>2.0332743055578341E-2</v>
      </c>
      <c r="Q32" s="110">
        <f t="shared" si="2"/>
        <v>1.6096213766405437E-2</v>
      </c>
      <c r="R32" s="152">
        <f t="shared" si="3"/>
        <v>5.0690223191792301</v>
      </c>
      <c r="S32" s="112">
        <f>SUM(O20:O32)/SUM(C20:C32)</f>
        <v>6.2256499300617447</v>
      </c>
      <c r="U32" s="38"/>
      <c r="V32" s="22"/>
      <c r="W32" s="160"/>
    </row>
    <row r="33" spans="1:23" x14ac:dyDescent="0.45">
      <c r="A33" s="40"/>
      <c r="B33" s="113" t="s">
        <v>77</v>
      </c>
      <c r="C33" s="114">
        <f>VLOOKUP($B33,'County Data'!$B$10:$C$46,2,FALSE)</f>
        <v>81160</v>
      </c>
      <c r="D33" s="139">
        <f>VLOOKUP($B33,Floor!$B$6:$M$45,4,FALSE)</f>
        <v>100000</v>
      </c>
      <c r="E33" s="115">
        <f>VLOOKUP($B33,Population!$B$7:$F$40,4,FALSE)</f>
        <v>0</v>
      </c>
      <c r="F33" s="115">
        <f>VLOOKUP($B33,Burden!$B$6:$H$40,6,FALSE)</f>
        <v>48721.620875653753</v>
      </c>
      <c r="G33" s="115">
        <f>VLOOKUP($B33,'Health Status'!$B$6:$H$40,6,FALSE)</f>
        <v>48527.360515748893</v>
      </c>
      <c r="H33" s="115">
        <f>VLOOKUP($B33,Ethnicity!$B$6:$H$40,6,FALSE)</f>
        <v>41328.537377959503</v>
      </c>
      <c r="I33" s="115">
        <f>VLOOKUP($B33,Poverty!$B$6:$H$40,6,FALSE)</f>
        <v>28072.26777972094</v>
      </c>
      <c r="J33" s="115">
        <f>VLOOKUP($B33,Rurality!$B$6:$H$40,6,FALSE)</f>
        <v>69353.660404236623</v>
      </c>
      <c r="K33" s="115">
        <f>VLOOKUP($B33,Education!$B$6:$H$40,6,FALSE)</f>
        <v>40963.002952460884</v>
      </c>
      <c r="L33" s="140">
        <f>VLOOKUP($B33,Language!$B$6:$H$40,6,FALSE)</f>
        <v>79630.775058161045</v>
      </c>
      <c r="M33" s="176">
        <f>VLOOKUP($B33,Matching!$B$7:$L$40,10,FALSE)</f>
        <v>0</v>
      </c>
      <c r="N33" s="177">
        <f>VLOOKUP($B33,Incentives!$B$7:$Y$40,23,FALSE)</f>
        <v>0</v>
      </c>
      <c r="O33" s="153">
        <f>SUM(D33:N33)</f>
        <v>456597.22496394167</v>
      </c>
      <c r="P33" s="116">
        <f t="shared" si="0"/>
        <v>2.6858660291996576E-2</v>
      </c>
      <c r="Q33" s="116">
        <f t="shared" si="2"/>
        <v>1.9157775469738458E-2</v>
      </c>
      <c r="R33" s="154">
        <f>O33/C33</f>
        <v>5.6258899083777925</v>
      </c>
      <c r="S33" s="105"/>
      <c r="U33" s="38"/>
      <c r="V33" s="22"/>
      <c r="W33" s="160"/>
    </row>
    <row r="34" spans="1:23" x14ac:dyDescent="0.45">
      <c r="A34" s="40"/>
      <c r="B34" s="113" t="s">
        <v>75</v>
      </c>
      <c r="C34" s="114">
        <f>VLOOKUP($B34,'County Data'!$B$10:$C$46,2,FALSE)</f>
        <v>82940</v>
      </c>
      <c r="D34" s="139">
        <f>VLOOKUP($B34,Floor!$B$6:$M$45,4,FALSE)</f>
        <v>100000</v>
      </c>
      <c r="E34" s="115">
        <f>VLOOKUP($B34,Population!$B$7:$F$40,4,FALSE)</f>
        <v>0</v>
      </c>
      <c r="F34" s="115">
        <f>VLOOKUP($B34,Burden!$B$6:$H$40,6,FALSE)</f>
        <v>42213.193751776525</v>
      </c>
      <c r="G34" s="115">
        <f>VLOOKUP($B34,'Health Status'!$B$6:$H$40,6,FALSE)</f>
        <v>49322.142015185185</v>
      </c>
      <c r="H34" s="115">
        <f>VLOOKUP($B34,Ethnicity!$B$6:$H$40,6,FALSE)</f>
        <v>34972.46214668169</v>
      </c>
      <c r="I34" s="115">
        <f>VLOOKUP($B34,Poverty!$B$6:$H$40,6,FALSE)</f>
        <v>22839.322832084774</v>
      </c>
      <c r="J34" s="115">
        <f>VLOOKUP($B34,Rurality!$B$6:$H$40,6,FALSE)</f>
        <v>48467.594713067316</v>
      </c>
      <c r="K34" s="115">
        <f>VLOOKUP($B34,Education!$B$6:$H$40,6,FALSE)</f>
        <v>22468.354810153352</v>
      </c>
      <c r="L34" s="140">
        <f>VLOOKUP($B34,Language!$B$6:$H$40,6,FALSE)</f>
        <v>39572.70885603824</v>
      </c>
      <c r="M34" s="176">
        <f>VLOOKUP($B34,Matching!$B$7:$L$40,10,FALSE)</f>
        <v>0</v>
      </c>
      <c r="N34" s="177">
        <f>VLOOKUP($B34,Incentives!$B$7:$Y$40,23,FALSE)</f>
        <v>0</v>
      </c>
      <c r="O34" s="153">
        <f t="shared" si="1"/>
        <v>359855.77912498714</v>
      </c>
      <c r="P34" s="116">
        <f t="shared" si="0"/>
        <v>2.1167987007352188E-2</v>
      </c>
      <c r="Q34" s="116">
        <f t="shared" si="2"/>
        <v>1.9577943536965348E-2</v>
      </c>
      <c r="R34" s="154">
        <f t="shared" si="3"/>
        <v>4.338748241198302</v>
      </c>
      <c r="S34" s="105"/>
      <c r="U34" s="38"/>
      <c r="V34" s="22"/>
      <c r="W34" s="160"/>
    </row>
    <row r="35" spans="1:23" x14ac:dyDescent="0.45">
      <c r="B35" s="113" t="s">
        <v>65</v>
      </c>
      <c r="C35" s="114">
        <f>VLOOKUP($B35,'County Data'!$B$10:$C$46,2,FALSE)</f>
        <v>86750</v>
      </c>
      <c r="D35" s="139">
        <f>VLOOKUP($B35,Floor!$B$6:$M$45,4,FALSE)</f>
        <v>100000</v>
      </c>
      <c r="E35" s="115">
        <f>VLOOKUP($B35,Population!$B$7:$F$40,4,FALSE)</f>
        <v>0</v>
      </c>
      <c r="F35" s="115">
        <f>VLOOKUP($B35,Burden!$B$6:$H$40,6,FALSE)</f>
        <v>72911.370543624376</v>
      </c>
      <c r="G35" s="115">
        <f>VLOOKUP($B35,'Health Status'!$B$6:$H$40,6,FALSE)</f>
        <v>61454.372093341204</v>
      </c>
      <c r="H35" s="115">
        <f>VLOOKUP($B35,Ethnicity!$B$6:$H$40,6,FALSE)</f>
        <v>24191.922040947429</v>
      </c>
      <c r="I35" s="115">
        <f>VLOOKUP($B35,Poverty!$B$6:$H$40,6,FALSE)</f>
        <v>34127.777852271429</v>
      </c>
      <c r="J35" s="115">
        <f>VLOOKUP($B35,Rurality!$B$6:$H$40,6,FALSE)</f>
        <v>114634.76828386962</v>
      </c>
      <c r="K35" s="115">
        <f>VLOOKUP($B35,Education!$B$6:$H$40,6,FALSE)</f>
        <v>24057.323981842153</v>
      </c>
      <c r="L35" s="140">
        <f>VLOOKUP($B35,Language!$B$6:$H$40,6,FALSE)</f>
        <v>10612.077659008979</v>
      </c>
      <c r="M35" s="176">
        <f>VLOOKUP($B35,Matching!$B$7:$L$40,10,FALSE)</f>
        <v>0</v>
      </c>
      <c r="N35" s="177">
        <f>VLOOKUP($B35,Incentives!$B$7:$Y$40,23,FALSE)</f>
        <v>0</v>
      </c>
      <c r="O35" s="153">
        <f t="shared" si="1"/>
        <v>441989.61245490517</v>
      </c>
      <c r="P35" s="116">
        <f t="shared" si="0"/>
        <v>2.5999388967935605E-2</v>
      </c>
      <c r="Q35" s="116">
        <f t="shared" si="2"/>
        <v>2.0477292040411672E-2</v>
      </c>
      <c r="R35" s="154">
        <f t="shared" si="3"/>
        <v>5.0949811233994833</v>
      </c>
      <c r="S35" s="105"/>
      <c r="U35" s="38"/>
      <c r="V35" s="22"/>
      <c r="W35" s="160"/>
    </row>
    <row r="36" spans="1:23" x14ac:dyDescent="0.45">
      <c r="B36" s="113" t="s">
        <v>51</v>
      </c>
      <c r="C36" s="114">
        <f>VLOOKUP($B36,'County Data'!$B$10:$C$46,2,FALSE)</f>
        <v>94360</v>
      </c>
      <c r="D36" s="139">
        <f>VLOOKUP($B36,Floor!$B$6:$M$45,4,FALSE)</f>
        <v>100000</v>
      </c>
      <c r="E36" s="115">
        <f>VLOOKUP($B36,Population!$B$7:$F$40,4,FALSE)</f>
        <v>0</v>
      </c>
      <c r="F36" s="115">
        <f>VLOOKUP($B36,Burden!$B$6:$H$40,6,FALSE)</f>
        <v>32509.981124324684</v>
      </c>
      <c r="G36" s="115">
        <f>VLOOKUP($B36,'Health Status'!$B$6:$H$40,6,FALSE)</f>
        <v>34649.197801984366</v>
      </c>
      <c r="H36" s="115">
        <f>VLOOKUP($B36,Ethnicity!$B$6:$H$40,6,FALSE)</f>
        <v>47541.953278818241</v>
      </c>
      <c r="I36" s="115">
        <f>VLOOKUP($B36,Poverty!$B$6:$H$40,6,FALSE)</f>
        <v>30874.234222984749</v>
      </c>
      <c r="J36" s="115">
        <f>VLOOKUP($B36,Rurality!$B$6:$H$40,6,FALSE)</f>
        <v>52093.092698815148</v>
      </c>
      <c r="K36" s="115">
        <f>VLOOKUP($B36,Education!$B$6:$H$40,6,FALSE)</f>
        <v>12185.058918162133</v>
      </c>
      <c r="L36" s="140">
        <f>VLOOKUP($B36,Language!$B$6:$H$40,6,FALSE)</f>
        <v>41954.985115649884</v>
      </c>
      <c r="M36" s="176">
        <f>VLOOKUP($B36,Matching!$B$7:$L$40,10,FALSE)</f>
        <v>0</v>
      </c>
      <c r="N36" s="177">
        <f>VLOOKUP($B36,Incentives!$B$7:$Y$40,23,FALSE)</f>
        <v>0</v>
      </c>
      <c r="O36" s="153">
        <f t="shared" si="1"/>
        <v>351808.5031607392</v>
      </c>
      <c r="P36" s="116">
        <f t="shared" si="0"/>
        <v>2.0694617832984662E-2</v>
      </c>
      <c r="Q36" s="116">
        <f t="shared" si="2"/>
        <v>2.2273628552544614E-2</v>
      </c>
      <c r="R36" s="154">
        <f t="shared" si="3"/>
        <v>3.7283648067055872</v>
      </c>
      <c r="S36" s="105"/>
      <c r="U36" s="38"/>
      <c r="V36" s="22"/>
      <c r="W36" s="160"/>
    </row>
    <row r="37" spans="1:23" x14ac:dyDescent="0.45">
      <c r="B37" s="113" t="s">
        <v>82</v>
      </c>
      <c r="C37" s="114">
        <f>VLOOKUP($B37,'County Data'!$B$10:$C$46,2,FALSE)</f>
        <v>108060</v>
      </c>
      <c r="D37" s="139">
        <f>VLOOKUP($B37,Floor!$B$6:$M$45,4,FALSE)</f>
        <v>100000</v>
      </c>
      <c r="E37" s="115">
        <f>VLOOKUP($B37,Population!$B$7:$F$40,4,FALSE)</f>
        <v>0</v>
      </c>
      <c r="F37" s="115">
        <f>VLOOKUP($B37,Burden!$B$6:$H$40,6,FALSE)</f>
        <v>57532.210633873641</v>
      </c>
      <c r="G37" s="115">
        <f>VLOOKUP($B37,'Health Status'!$B$6:$H$40,6,FALSE)</f>
        <v>64611.465960224559</v>
      </c>
      <c r="H37" s="115">
        <f>VLOOKUP($B37,Ethnicity!$B$6:$H$40,6,FALSE)</f>
        <v>44303.002494776178</v>
      </c>
      <c r="I37" s="115">
        <f>VLOOKUP($B37,Poverty!$B$6:$H$40,6,FALSE)</f>
        <v>27351.992591953007</v>
      </c>
      <c r="J37" s="115">
        <f>VLOOKUP($B37,Rurality!$B$6:$H$40,6,FALSE)</f>
        <v>71714.630079554772</v>
      </c>
      <c r="K37" s="115">
        <f>VLOOKUP($B37,Education!$B$6:$H$40,6,FALSE)</f>
        <v>35954.582830797859</v>
      </c>
      <c r="L37" s="140">
        <f>VLOOKUP($B37,Language!$B$6:$H$40,6,FALSE)</f>
        <v>53251.749615198685</v>
      </c>
      <c r="M37" s="176">
        <f>VLOOKUP($B37,Matching!$B$7:$L$40,10,FALSE)</f>
        <v>0</v>
      </c>
      <c r="N37" s="177">
        <f>VLOOKUP($B37,Incentives!$B$7:$Y$40,23,FALSE)</f>
        <v>0</v>
      </c>
      <c r="O37" s="153">
        <f t="shared" si="1"/>
        <v>454719.63420637872</v>
      </c>
      <c r="P37" s="116">
        <f t="shared" si="0"/>
        <v>2.6748213776845813E-2</v>
      </c>
      <c r="Q37" s="116">
        <f t="shared" si="2"/>
        <v>2.5507506373335851E-2</v>
      </c>
      <c r="R37" s="154">
        <f t="shared" si="3"/>
        <v>4.2080291893982853</v>
      </c>
      <c r="S37" s="105"/>
      <c r="U37" s="38"/>
      <c r="V37" s="22"/>
      <c r="W37" s="160"/>
    </row>
    <row r="38" spans="1:23" x14ac:dyDescent="0.45">
      <c r="B38" s="113" t="s">
        <v>59</v>
      </c>
      <c r="C38" s="114">
        <f>VLOOKUP($B38,'County Data'!$B$10:$C$46,2,FALSE)</f>
        <v>112250</v>
      </c>
      <c r="D38" s="139">
        <f>VLOOKUP($B38,Floor!$B$6:$M$45,4,FALSE)</f>
        <v>100000</v>
      </c>
      <c r="E38" s="115">
        <f>VLOOKUP($B38,Population!$B$7:$F$40,4,FALSE)</f>
        <v>0</v>
      </c>
      <c r="F38" s="115">
        <f>VLOOKUP($B38,Burden!$B$6:$H$40,6,FALSE)</f>
        <v>95983.681374700129</v>
      </c>
      <c r="G38" s="115">
        <f>VLOOKUP($B38,'Health Status'!$B$6:$H$40,6,FALSE)</f>
        <v>80977.829647569772</v>
      </c>
      <c r="H38" s="115">
        <f>VLOOKUP($B38,Ethnicity!$B$6:$H$40,6,FALSE)</f>
        <v>29468.178623317988</v>
      </c>
      <c r="I38" s="115">
        <f>VLOOKUP($B38,Poverty!$B$6:$H$40,6,FALSE)</f>
        <v>36576.151453275117</v>
      </c>
      <c r="J38" s="115">
        <f>VLOOKUP($B38,Rurality!$B$6:$H$40,6,FALSE)</f>
        <v>135805.67733138951</v>
      </c>
      <c r="K38" s="115">
        <f>VLOOKUP($B38,Education!$B$6:$H$40,6,FALSE)</f>
        <v>34624.15638859172</v>
      </c>
      <c r="L38" s="140">
        <f>VLOOKUP($B38,Language!$B$6:$H$40,6,FALSE)</f>
        <v>12418.341358810672</v>
      </c>
      <c r="M38" s="176">
        <f>VLOOKUP($B38,Matching!$B$7:$L$40,10,FALSE)</f>
        <v>0</v>
      </c>
      <c r="N38" s="177">
        <f>VLOOKUP($B38,Incentives!$B$7:$Y$40,23,FALSE)</f>
        <v>0</v>
      </c>
      <c r="O38" s="153">
        <f t="shared" si="1"/>
        <v>525854.01617765496</v>
      </c>
      <c r="P38" s="116">
        <f t="shared" si="0"/>
        <v>3.0932589186920888E-2</v>
      </c>
      <c r="Q38" s="116">
        <f t="shared" si="2"/>
        <v>2.6496553677650837E-2</v>
      </c>
      <c r="R38" s="154">
        <f t="shared" si="3"/>
        <v>4.6846682955693089</v>
      </c>
      <c r="S38" s="105"/>
      <c r="U38" s="38"/>
      <c r="V38" s="22"/>
      <c r="W38" s="160"/>
    </row>
    <row r="39" spans="1:23" x14ac:dyDescent="0.45">
      <c r="B39" s="113" t="s">
        <v>70</v>
      </c>
      <c r="C39" s="114">
        <f>VLOOKUP($B39,'County Data'!$B$10:$C$46,2,FALSE)</f>
        <v>126550</v>
      </c>
      <c r="D39" s="139">
        <f>VLOOKUP($B39,Floor!$B$6:$M$45,4,FALSE)</f>
        <v>100000</v>
      </c>
      <c r="E39" s="115">
        <f>VLOOKUP($B39,Population!$B$7:$F$40,4,FALSE)</f>
        <v>0</v>
      </c>
      <c r="F39" s="115">
        <f>VLOOKUP($B39,Burden!$B$6:$H$40,6,FALSE)</f>
        <v>80063.235607105773</v>
      </c>
      <c r="G39" s="115">
        <f>VLOOKUP($B39,'Health Status'!$B$6:$H$40,6,FALSE)</f>
        <v>74433.344404337666</v>
      </c>
      <c r="H39" s="115">
        <f>VLOOKUP($B39,Ethnicity!$B$6:$H$40,6,FALSE)</f>
        <v>42567.630007156404</v>
      </c>
      <c r="I39" s="115">
        <f>VLOOKUP($B39,Poverty!$B$6:$H$40,6,FALSE)</f>
        <v>37989.754341875312</v>
      </c>
      <c r="J39" s="115">
        <f>VLOOKUP($B39,Rurality!$B$6:$H$40,6,FALSE)</f>
        <v>117431.22527616496</v>
      </c>
      <c r="K39" s="115">
        <f>VLOOKUP($B39,Education!$B$6:$H$40,6,FALSE)</f>
        <v>36158.321224101899</v>
      </c>
      <c r="L39" s="140">
        <f>VLOOKUP($B39,Language!$B$6:$H$40,6,FALSE)</f>
        <v>28468.899234686509</v>
      </c>
      <c r="M39" s="176">
        <f>VLOOKUP($B39,Matching!$B$7:$L$40,10,FALSE)</f>
        <v>0</v>
      </c>
      <c r="N39" s="177">
        <f>VLOOKUP($B39,Incentives!$B$7:$Y$40,23,FALSE)</f>
        <v>0</v>
      </c>
      <c r="O39" s="153">
        <f t="shared" si="1"/>
        <v>517112.41009542852</v>
      </c>
      <c r="P39" s="116">
        <f t="shared" si="0"/>
        <v>3.041837706443698E-2</v>
      </c>
      <c r="Q39" s="116">
        <f t="shared" si="2"/>
        <v>2.9872061184024173E-2</v>
      </c>
      <c r="R39" s="154">
        <f t="shared" si="3"/>
        <v>4.0862300284111299</v>
      </c>
      <c r="S39" s="117">
        <f>SUM(O33:O39)/SUM(C33:C39)</f>
        <v>4.4907844295866548</v>
      </c>
      <c r="U39" s="38"/>
      <c r="V39" s="22"/>
      <c r="W39" s="160"/>
    </row>
    <row r="40" spans="1:23" x14ac:dyDescent="0.45">
      <c r="B40" s="118" t="s">
        <v>58</v>
      </c>
      <c r="C40" s="119">
        <f>VLOOKUP($B40,'County Data'!$B$10:$C$46,2,FALSE)</f>
        <v>193000</v>
      </c>
      <c r="D40" s="141">
        <f>VLOOKUP($B40,Floor!$B$6:$M$45,4,FALSE)</f>
        <v>125000</v>
      </c>
      <c r="E40" s="120">
        <f>VLOOKUP($B40,Population!$B$7:$F$40,4,FALSE)</f>
        <v>0</v>
      </c>
      <c r="F40" s="120">
        <f>VLOOKUP($B40,Burden!$B$6:$H$40,6,FALSE)</f>
        <v>87884.555921591105</v>
      </c>
      <c r="G40" s="120">
        <f>VLOOKUP($B40,'Health Status'!$B$6:$H$40,6,FALSE)</f>
        <v>85922.060784180765</v>
      </c>
      <c r="H40" s="120">
        <f>VLOOKUP($B40,Ethnicity!$B$6:$H$40,6,FALSE)</f>
        <v>44067.755026003586</v>
      </c>
      <c r="I40" s="120">
        <f>VLOOKUP($B40,Poverty!$B$6:$H$40,6,FALSE)</f>
        <v>42510.732219191712</v>
      </c>
      <c r="J40" s="120">
        <f>VLOOKUP($B40,Rurality!$B$6:$H$40,6,FALSE)</f>
        <v>156423.05057816629</v>
      </c>
      <c r="K40" s="120">
        <f>VLOOKUP($B40,Education!$B$6:$H$40,6,FALSE)</f>
        <v>35367.008020691072</v>
      </c>
      <c r="L40" s="142">
        <f>VLOOKUP($B40,Language!$B$6:$H$40,6,FALSE)</f>
        <v>37995.493279591916</v>
      </c>
      <c r="M40" s="178">
        <f>VLOOKUP($B40,Matching!$B$7:$L$40,10,FALSE)</f>
        <v>0</v>
      </c>
      <c r="N40" s="179">
        <f>VLOOKUP($B40,Incentives!$B$7:$Y$40,23,FALSE)</f>
        <v>0</v>
      </c>
      <c r="O40" s="155">
        <f t="shared" si="1"/>
        <v>615170.65582941647</v>
      </c>
      <c r="P40" s="121">
        <f t="shared" si="0"/>
        <v>3.6186509166436273E-2</v>
      </c>
      <c r="Q40" s="121">
        <f t="shared" si="2"/>
        <v>4.5557548862241525E-2</v>
      </c>
      <c r="R40" s="156">
        <f t="shared" si="3"/>
        <v>3.1874127245047488</v>
      </c>
      <c r="S40" s="105"/>
      <c r="U40" s="38"/>
      <c r="V40" s="22"/>
      <c r="W40" s="160"/>
    </row>
    <row r="41" spans="1:23" x14ac:dyDescent="0.45">
      <c r="B41" s="118" t="s">
        <v>63</v>
      </c>
      <c r="C41" s="119">
        <f>VLOOKUP($B41,'County Data'!$B$10:$C$46,2,FALSE)</f>
        <v>221290</v>
      </c>
      <c r="D41" s="141">
        <f>VLOOKUP($B41,Floor!$B$6:$M$45,4,FALSE)</f>
        <v>125000</v>
      </c>
      <c r="E41" s="120">
        <f>VLOOKUP($B41,Population!$B$7:$F$40,4,FALSE)</f>
        <v>0</v>
      </c>
      <c r="F41" s="120">
        <f>VLOOKUP($B41,Burden!$B$6:$H$40,6,FALSE)</f>
        <v>142970.72613948522</v>
      </c>
      <c r="G41" s="120">
        <f>VLOOKUP($B41,'Health Status'!$B$6:$H$40,6,FALSE)</f>
        <v>132314.18936089295</v>
      </c>
      <c r="H41" s="120">
        <f>VLOOKUP($B41,Ethnicity!$B$6:$H$40,6,FALSE)</f>
        <v>67021.215319287076</v>
      </c>
      <c r="I41" s="120">
        <f>VLOOKUP($B41,Poverty!$B$6:$H$40,6,FALSE)</f>
        <v>69665.126702592868</v>
      </c>
      <c r="J41" s="120">
        <f>VLOOKUP($B41,Rurality!$B$6:$H$40,6,FALSE)</f>
        <v>130614.74486278679</v>
      </c>
      <c r="K41" s="120">
        <f>VLOOKUP($B41,Education!$B$6:$H$40,6,FALSE)</f>
        <v>65010.146761994001</v>
      </c>
      <c r="L41" s="142">
        <f>VLOOKUP($B41,Language!$B$6:$H$40,6,FALSE)</f>
        <v>72564.322627720074</v>
      </c>
      <c r="M41" s="178">
        <f>VLOOKUP($B41,Matching!$B$7:$L$40,10,FALSE)</f>
        <v>0</v>
      </c>
      <c r="N41" s="179">
        <f>VLOOKUP($B41,Incentives!$B$7:$Y$40,23,FALSE)</f>
        <v>0</v>
      </c>
      <c r="O41" s="155">
        <f t="shared" si="1"/>
        <v>805160.471774759</v>
      </c>
      <c r="P41" s="121">
        <f t="shared" si="0"/>
        <v>4.7362380692632891E-2</v>
      </c>
      <c r="Q41" s="121">
        <f t="shared" si="2"/>
        <v>5.2235388537437449E-2</v>
      </c>
      <c r="R41" s="156">
        <f t="shared" si="3"/>
        <v>3.6384855699523655</v>
      </c>
      <c r="S41" s="105"/>
      <c r="U41" s="38"/>
      <c r="V41" s="22"/>
      <c r="W41" s="160"/>
    </row>
    <row r="42" spans="1:23" x14ac:dyDescent="0.45">
      <c r="B42" s="118" t="s">
        <v>72</v>
      </c>
      <c r="C42" s="119">
        <f>VLOOKUP($B42,'County Data'!$B$10:$C$46,2,FALSE)</f>
        <v>347760</v>
      </c>
      <c r="D42" s="141">
        <f>VLOOKUP($B42,Floor!$B$6:$M$45,4,FALSE)</f>
        <v>125000</v>
      </c>
      <c r="E42" s="120">
        <f>VLOOKUP($B42,Population!$B$7:$F$40,4,FALSE)</f>
        <v>0</v>
      </c>
      <c r="F42" s="120">
        <f>VLOOKUP($B42,Burden!$B$6:$H$40,6,FALSE)</f>
        <v>187393.30074269412</v>
      </c>
      <c r="G42" s="120">
        <f>VLOOKUP($B42,'Health Status'!$B$6:$H$40,6,FALSE)</f>
        <v>216973.9845238413</v>
      </c>
      <c r="H42" s="120">
        <f>VLOOKUP($B42,Ethnicity!$B$6:$H$40,6,FALSE)</f>
        <v>231105.7463069653</v>
      </c>
      <c r="I42" s="120">
        <f>VLOOKUP($B42,Poverty!$B$6:$H$40,6,FALSE)</f>
        <v>111900.97584390384</v>
      </c>
      <c r="J42" s="120">
        <f>VLOOKUP($B42,Rurality!$B$6:$H$40,6,FALSE)</f>
        <v>133778.17994006287</v>
      </c>
      <c r="K42" s="120">
        <f>VLOOKUP($B42,Education!$B$6:$H$40,6,FALSE)</f>
        <v>145176.06392262294</v>
      </c>
      <c r="L42" s="142">
        <f>VLOOKUP($B42,Language!$B$6:$H$40,6,FALSE)</f>
        <v>337777.15937637864</v>
      </c>
      <c r="M42" s="178">
        <f>VLOOKUP($B42,Matching!$B$7:$L$40,10,FALSE)</f>
        <v>0</v>
      </c>
      <c r="N42" s="179">
        <f>VLOOKUP($B42,Incentives!$B$7:$Y$40,23,FALSE)</f>
        <v>0</v>
      </c>
      <c r="O42" s="155">
        <f t="shared" si="1"/>
        <v>1489105.4106564689</v>
      </c>
      <c r="P42" s="121">
        <f t="shared" si="0"/>
        <v>8.7594435920968786E-2</v>
      </c>
      <c r="Q42" s="121">
        <f t="shared" si="2"/>
        <v>8.2088565763384011E-2</v>
      </c>
      <c r="R42" s="156">
        <f t="shared" si="3"/>
        <v>4.2819916340478175</v>
      </c>
      <c r="S42" s="122">
        <f>SUM(O40:O42)/SUM(C40:C42)</f>
        <v>3.8179076678179178</v>
      </c>
      <c r="U42" s="38"/>
      <c r="V42" s="22"/>
      <c r="W42" s="160"/>
    </row>
    <row r="43" spans="1:23" x14ac:dyDescent="0.45">
      <c r="B43" s="123" t="s">
        <v>68</v>
      </c>
      <c r="C43" s="124">
        <f>VLOOKUP($B43,'County Data'!$B$10:$C$46,2,FALSE)</f>
        <v>378880</v>
      </c>
      <c r="D43" s="143">
        <f>VLOOKUP($B43,Floor!$B$6:$M$45,4,FALSE)</f>
        <v>150000</v>
      </c>
      <c r="E43" s="125">
        <f>VLOOKUP($B43,Population!$B$7:$F$40,4,FALSE)</f>
        <v>0</v>
      </c>
      <c r="F43" s="125">
        <f>VLOOKUP($B43,Burden!$B$6:$H$40,6,FALSE)</f>
        <v>218716.00079414502</v>
      </c>
      <c r="G43" s="125">
        <f>VLOOKUP($B43,'Health Status'!$B$6:$H$40,6,FALSE)</f>
        <v>204379.14468912402</v>
      </c>
      <c r="H43" s="125">
        <f>VLOOKUP($B43,Ethnicity!$B$6:$H$40,6,FALSE)</f>
        <v>172819.41291805546</v>
      </c>
      <c r="I43" s="125">
        <f>VLOOKUP($B43,Poverty!$B$6:$H$40,6,FALSE)</f>
        <v>127754.64463413862</v>
      </c>
      <c r="J43" s="125">
        <f>VLOOKUP($B43,Rurality!$B$6:$H$40,6,FALSE)</f>
        <v>194703.64844812528</v>
      </c>
      <c r="K43" s="125">
        <f>VLOOKUP($B43,Education!$B$6:$H$40,6,FALSE)</f>
        <v>92460.055503929907</v>
      </c>
      <c r="L43" s="144">
        <f>VLOOKUP($B43,Language!$B$6:$H$40,6,FALSE)</f>
        <v>91191.396144004379</v>
      </c>
      <c r="M43" s="180">
        <f>VLOOKUP($B43,Matching!$B$7:$L$40,10,FALSE)</f>
        <v>0</v>
      </c>
      <c r="N43" s="181">
        <f>VLOOKUP($B43,Incentives!$B$7:$Y$40,23,FALSE)</f>
        <v>0</v>
      </c>
      <c r="O43" s="157">
        <f t="shared" si="1"/>
        <v>1252024.3031315226</v>
      </c>
      <c r="P43" s="126">
        <f t="shared" si="0"/>
        <v>7.3648488419501348E-2</v>
      </c>
      <c r="Q43" s="126">
        <f t="shared" si="2"/>
        <v>8.9434425455575492E-2</v>
      </c>
      <c r="R43" s="158">
        <f t="shared" si="3"/>
        <v>3.3045404960185878</v>
      </c>
      <c r="S43" s="211"/>
      <c r="U43" s="38"/>
      <c r="V43" s="22"/>
      <c r="W43" s="160"/>
    </row>
    <row r="44" spans="1:23" x14ac:dyDescent="0.45">
      <c r="B44" s="123" t="s">
        <v>52</v>
      </c>
      <c r="C44" s="124">
        <f>VLOOKUP($B44,'County Data'!$B$10:$C$46,2,FALSE)</f>
        <v>423420</v>
      </c>
      <c r="D44" s="143">
        <f>VLOOKUP($B44,Floor!$B$6:$M$45,4,FALSE)</f>
        <v>150000</v>
      </c>
      <c r="E44" s="125">
        <f>VLOOKUP($B44,Population!$B$7:$F$40,4,FALSE)</f>
        <v>0</v>
      </c>
      <c r="F44" s="125">
        <f>VLOOKUP($B44,Burden!$B$6:$H$40,6,FALSE)</f>
        <v>203135.99350270527</v>
      </c>
      <c r="G44" s="125">
        <f>VLOOKUP($B44,'Health Status'!$B$6:$H$40,6,FALSE)</f>
        <v>199510.69368403175</v>
      </c>
      <c r="H44" s="125">
        <f>VLOOKUP($B44,Ethnicity!$B$6:$H$40,6,FALSE)</f>
        <v>177715.1838094799</v>
      </c>
      <c r="I44" s="125">
        <f>VLOOKUP($B44,Poverty!$B$6:$H$40,6,FALSE)</f>
        <v>68635.057198022376</v>
      </c>
      <c r="J44" s="125">
        <f>VLOOKUP($B44,Rurality!$B$6:$H$40,6,FALSE)</f>
        <v>225052.73901256098</v>
      </c>
      <c r="K44" s="125">
        <f>VLOOKUP($B44,Education!$B$6:$H$40,6,FALSE)</f>
        <v>80647.811074175741</v>
      </c>
      <c r="L44" s="144">
        <f>VLOOKUP($B44,Language!$B$6:$H$40,6,FALSE)</f>
        <v>161510.90263978552</v>
      </c>
      <c r="M44" s="180">
        <f>VLOOKUP($B44,Matching!$B$7:$L$40,10,FALSE)</f>
        <v>0</v>
      </c>
      <c r="N44" s="181">
        <f>VLOOKUP($B44,Incentives!$B$7:$Y$40,23,FALSE)</f>
        <v>0</v>
      </c>
      <c r="O44" s="157">
        <f t="shared" si="1"/>
        <v>1266208.3809207615</v>
      </c>
      <c r="P44" s="126">
        <f t="shared" si="0"/>
        <v>7.4482845936515399E-2</v>
      </c>
      <c r="Q44" s="126">
        <f t="shared" si="2"/>
        <v>9.9948069115286559E-2</v>
      </c>
      <c r="R44" s="158">
        <f t="shared" si="3"/>
        <v>2.9904312052353728</v>
      </c>
      <c r="S44" s="105"/>
      <c r="U44" s="38"/>
      <c r="V44" s="22"/>
      <c r="W44" s="160"/>
    </row>
    <row r="45" spans="1:23" x14ac:dyDescent="0.45">
      <c r="B45" s="123" t="s">
        <v>80</v>
      </c>
      <c r="C45" s="124">
        <f>VLOOKUP($B45,'County Data'!$B$10:$C$46,2,FALSE)</f>
        <v>613410</v>
      </c>
      <c r="D45" s="143">
        <f>VLOOKUP($B45,Floor!$B$6:$M$45,4,FALSE)</f>
        <v>150000</v>
      </c>
      <c r="E45" s="125">
        <f>VLOOKUP($B45,Population!$B$7:$F$40,4,FALSE)</f>
        <v>0</v>
      </c>
      <c r="F45" s="125">
        <f>VLOOKUP($B45,Burden!$B$6:$H$40,6,FALSE)</f>
        <v>221638.85865312701</v>
      </c>
      <c r="G45" s="125">
        <f>VLOOKUP($B45,'Health Status'!$B$6:$H$40,6,FALSE)</f>
        <v>300991.76079381543</v>
      </c>
      <c r="H45" s="125">
        <f>VLOOKUP($B45,Ethnicity!$B$6:$H$40,6,FALSE)</f>
        <v>513475.29168060084</v>
      </c>
      <c r="I45" s="125">
        <f>VLOOKUP($B45,Poverty!$B$6:$H$40,6,FALSE)</f>
        <v>117563.0332536763</v>
      </c>
      <c r="J45" s="125">
        <f>VLOOKUP($B45,Rurality!$B$6:$H$40,6,FALSE)</f>
        <v>100872.60556973355</v>
      </c>
      <c r="K45" s="125">
        <f>VLOOKUP($B45,Education!$B$6:$H$40,6,FALSE)</f>
        <v>145829.82703600283</v>
      </c>
      <c r="L45" s="144">
        <f>VLOOKUP($B45,Language!$B$6:$H$40,6,FALSE)</f>
        <v>518777.29672187852</v>
      </c>
      <c r="M45" s="180">
        <f>VLOOKUP($B45,Matching!$B$7:$L$40,10,FALSE)</f>
        <v>0</v>
      </c>
      <c r="N45" s="181">
        <f>VLOOKUP($B45,Incentives!$B$7:$Y$40,23,FALSE)</f>
        <v>0</v>
      </c>
      <c r="O45" s="157">
        <f t="shared" si="1"/>
        <v>2069148.6737088342</v>
      </c>
      <c r="P45" s="126">
        <f t="shared" si="0"/>
        <v>0.12171462786522556</v>
      </c>
      <c r="Q45" s="126">
        <f t="shared" si="2"/>
        <v>0.1447951090548579</v>
      </c>
      <c r="R45" s="158">
        <f t="shared" si="3"/>
        <v>3.3731903192136325</v>
      </c>
      <c r="S45" s="105"/>
      <c r="U45" s="38"/>
      <c r="V45" s="22"/>
      <c r="W45" s="160"/>
    </row>
    <row r="46" spans="1:23" x14ac:dyDescent="0.45">
      <c r="B46" s="123" t="s">
        <v>74</v>
      </c>
      <c r="C46" s="124">
        <f>VLOOKUP($B46,'County Data'!$B$10:$C$46,2,FALSE)</f>
        <v>821730</v>
      </c>
      <c r="D46" s="143">
        <f>VLOOKUP($B46,Floor!$B$6:$M$45,4,FALSE)</f>
        <v>150000</v>
      </c>
      <c r="E46" s="125">
        <f>VLOOKUP($B46,Population!$B$7:$F$40,4,FALSE)</f>
        <v>0</v>
      </c>
      <c r="F46" s="125">
        <f>VLOOKUP($B46,Burden!$B$6:$H$40,6,FALSE)</f>
        <v>433144.77069294383</v>
      </c>
      <c r="G46" s="125">
        <f>VLOOKUP($B46,'Health Status'!$B$6:$H$40,6,FALSE)</f>
        <v>429914.23684118461</v>
      </c>
      <c r="H46" s="125">
        <f>VLOOKUP($B46,Ethnicity!$B$6:$H$40,6,FALSE)</f>
        <v>639644.4352258913</v>
      </c>
      <c r="I46" s="125">
        <f>VLOOKUP($B46,Poverty!$B$6:$H$40,6,FALSE)</f>
        <v>225493.94096637709</v>
      </c>
      <c r="J46" s="125">
        <f>VLOOKUP($B46,Rurality!$B$6:$H$40,6,FALSE)</f>
        <v>31369.446451354579</v>
      </c>
      <c r="K46" s="125">
        <f>VLOOKUP($B46,Education!$B$6:$H$40,6,FALSE)</f>
        <v>202584.27586452581</v>
      </c>
      <c r="L46" s="144">
        <f>VLOOKUP($B46,Language!$B$6:$H$40,6,FALSE)</f>
        <v>646100.31339452905</v>
      </c>
      <c r="M46" s="180">
        <f>VLOOKUP($B46,Matching!$B$7:$L$40,10,FALSE)</f>
        <v>0</v>
      </c>
      <c r="N46" s="181">
        <f>VLOOKUP($B46,Incentives!$B$7:$Y$40,23,FALSE)</f>
        <v>0</v>
      </c>
      <c r="O46" s="157">
        <f t="shared" si="1"/>
        <v>2758251.4194368059</v>
      </c>
      <c r="P46" s="126">
        <f t="shared" si="0"/>
        <v>0.16225008349628273</v>
      </c>
      <c r="Q46" s="126">
        <f t="shared" si="2"/>
        <v>0.19396893588896233</v>
      </c>
      <c r="R46" s="158">
        <f t="shared" si="3"/>
        <v>3.3566395524525161</v>
      </c>
      <c r="S46" s="127">
        <f>SUM(O43:O46)/SUM(C43:C46)</f>
        <v>3.28305240685691</v>
      </c>
      <c r="U46" s="38"/>
      <c r="V46" s="22"/>
      <c r="W46" s="160"/>
    </row>
    <row r="47" spans="1:23" ht="14.65" thickBot="1" x14ac:dyDescent="0.5">
      <c r="B47" s="128" t="s">
        <v>2</v>
      </c>
      <c r="C47" s="129">
        <f t="shared" ref="C47:I47" si="4">SUM(C13:C46)</f>
        <v>4236400</v>
      </c>
      <c r="D47" s="145">
        <f t="shared" si="4"/>
        <v>3100000</v>
      </c>
      <c r="E47" s="130">
        <f t="shared" si="4"/>
        <v>0</v>
      </c>
      <c r="F47" s="130">
        <f t="shared" si="4"/>
        <v>2316666.6666666665</v>
      </c>
      <c r="G47" s="130">
        <f t="shared" si="4"/>
        <v>2316666.6666666665</v>
      </c>
      <c r="H47" s="130">
        <f t="shared" si="4"/>
        <v>2316666.666666667</v>
      </c>
      <c r="I47" s="130">
        <f t="shared" si="4"/>
        <v>1158333.3333333333</v>
      </c>
      <c r="J47" s="130">
        <f>SUM(J13:J46)</f>
        <v>2316666.6666666665</v>
      </c>
      <c r="K47" s="130">
        <f>SUM(K13:K46)</f>
        <v>1158333.333333333</v>
      </c>
      <c r="L47" s="146">
        <f t="shared" ref="L47:Q47" si="5">SUM(L13:L46)</f>
        <v>2316666.666666666</v>
      </c>
      <c r="M47" s="182">
        <f t="shared" si="5"/>
        <v>0</v>
      </c>
      <c r="N47" s="183">
        <f t="shared" si="5"/>
        <v>0</v>
      </c>
      <c r="O47" s="145">
        <f t="shared" si="5"/>
        <v>16999999.999999996</v>
      </c>
      <c r="P47" s="131">
        <f t="shared" si="5"/>
        <v>1.0000000000000002</v>
      </c>
      <c r="Q47" s="131">
        <f t="shared" si="5"/>
        <v>1</v>
      </c>
      <c r="R47" s="159">
        <f>O47/C47</f>
        <v>4.0128410914927759</v>
      </c>
      <c r="S47" s="132">
        <f>O47/C47</f>
        <v>4.0128410914927759</v>
      </c>
      <c r="V47" s="22"/>
    </row>
    <row r="48" spans="1:23" ht="14.65" thickTop="1" x14ac:dyDescent="0.45">
      <c r="O48" s="38"/>
    </row>
    <row r="49" spans="2:17" ht="15.75" x14ac:dyDescent="0.45">
      <c r="B49" s="212" t="s">
        <v>140</v>
      </c>
      <c r="M49" s="214" t="s">
        <v>43</v>
      </c>
      <c r="N49" s="214"/>
      <c r="O49" s="214"/>
      <c r="P49" s="214"/>
      <c r="Q49" s="214"/>
    </row>
    <row r="50" spans="2:17" ht="15.75" x14ac:dyDescent="0.45">
      <c r="B50" s="213" t="s">
        <v>141</v>
      </c>
      <c r="C50" s="39"/>
      <c r="D50" s="39"/>
      <c r="E50" s="39"/>
      <c r="F50" s="39"/>
      <c r="G50" s="39"/>
      <c r="M50" s="41" t="s">
        <v>44</v>
      </c>
      <c r="N50" s="42" t="s">
        <v>45</v>
      </c>
      <c r="O50" s="43" t="s">
        <v>46</v>
      </c>
      <c r="P50" s="44" t="s">
        <v>47</v>
      </c>
      <c r="Q50" s="45" t="s">
        <v>48</v>
      </c>
    </row>
    <row r="51" spans="2:17" ht="15.75" x14ac:dyDescent="0.45">
      <c r="B51" s="213" t="s">
        <v>142</v>
      </c>
      <c r="C51" s="25"/>
      <c r="M51" t="s">
        <v>121</v>
      </c>
      <c r="N51" t="s">
        <v>122</v>
      </c>
      <c r="O51" t="s">
        <v>123</v>
      </c>
      <c r="P51" t="s">
        <v>124</v>
      </c>
      <c r="Q51" t="s">
        <v>125</v>
      </c>
    </row>
    <row r="52" spans="2:17" ht="15.75" x14ac:dyDescent="0.45">
      <c r="B52" s="213" t="s">
        <v>143</v>
      </c>
      <c r="C52" s="25"/>
      <c r="O52" s="38"/>
    </row>
    <row r="53" spans="2:17" ht="15.75" x14ac:dyDescent="0.45">
      <c r="B53" s="213" t="s">
        <v>144</v>
      </c>
      <c r="C53" s="25"/>
    </row>
  </sheetData>
  <sortState xmlns:xlrd2="http://schemas.microsoft.com/office/spreadsheetml/2017/richdata2" ref="U13:V46">
    <sortCondition ref="V13:V46"/>
  </sortState>
  <mergeCells count="4">
    <mergeCell ref="M49:Q49"/>
    <mergeCell ref="D11:L11"/>
    <mergeCell ref="M11:N11"/>
    <mergeCell ref="O11:R11"/>
  </mergeCells>
  <pageMargins left="0.7" right="0.7" top="0.75" bottom="0.75" header="0.3" footer="0.3"/>
  <pageSetup paperSize="5" scale="64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Q52"/>
  <sheetViews>
    <sheetView zoomScaleNormal="100" workbookViewId="0">
      <selection activeCell="S40" sqref="S40"/>
    </sheetView>
  </sheetViews>
  <sheetFormatPr defaultRowHeight="14.25" x14ac:dyDescent="0.45"/>
  <cols>
    <col min="2" max="2" width="18" customWidth="1"/>
    <col min="3" max="3" width="13" customWidth="1"/>
    <col min="4" max="4" width="12.1328125" bestFit="1" customWidth="1"/>
    <col min="5" max="5" width="12.59765625" bestFit="1" customWidth="1"/>
    <col min="6" max="6" width="11.1328125" bestFit="1" customWidth="1"/>
    <col min="7" max="7" width="13.59765625" bestFit="1" customWidth="1"/>
    <col min="8" max="8" width="15.1328125" bestFit="1" customWidth="1"/>
    <col min="9" max="9" width="10.86328125" bestFit="1" customWidth="1"/>
    <col min="10" max="10" width="11.265625" bestFit="1" customWidth="1"/>
    <col min="11" max="11" width="14.59765625" bestFit="1" customWidth="1"/>
    <col min="12" max="12" width="14.59765625" hidden="1" customWidth="1"/>
    <col min="13" max="16" width="10.73046875" hidden="1" customWidth="1"/>
  </cols>
  <sheetData>
    <row r="1" spans="2:17" ht="18" x14ac:dyDescent="0.55000000000000004">
      <c r="B1" s="24" t="str">
        <f>Input!$B$1</f>
        <v>PHAB Funding and Incentives Subcommittee</v>
      </c>
    </row>
    <row r="2" spans="2:17" ht="15.75" x14ac:dyDescent="0.45">
      <c r="B2" s="23" t="str">
        <f>Input!$B$2</f>
        <v>Subcommittee Members: Carrie Brogoitti, Bob Dannenhoffer, Jeff Luck, Alejandro Queral, Akiko Saito</v>
      </c>
    </row>
    <row r="3" spans="2:17" ht="15.75" x14ac:dyDescent="0.45">
      <c r="B3" s="23" t="s">
        <v>138</v>
      </c>
    </row>
    <row r="4" spans="2:17" ht="15" customHeight="1" x14ac:dyDescent="0.45"/>
    <row r="5" spans="2:17" x14ac:dyDescent="0.45">
      <c r="B5" t="s">
        <v>21</v>
      </c>
      <c r="C5" s="9">
        <f>Input!C5</f>
        <v>17000000</v>
      </c>
    </row>
    <row r="6" spans="2:17" x14ac:dyDescent="0.45"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</row>
    <row r="7" spans="2:17" s="2" customFormat="1" ht="28.5" x14ac:dyDescent="0.45">
      <c r="B7" s="67" t="s">
        <v>7</v>
      </c>
      <c r="C7" s="68" t="s">
        <v>1</v>
      </c>
      <c r="D7" s="68" t="s">
        <v>20</v>
      </c>
      <c r="E7" s="68" t="s">
        <v>8</v>
      </c>
      <c r="F7" s="68" t="s">
        <v>9</v>
      </c>
      <c r="G7" s="68" t="s">
        <v>18</v>
      </c>
      <c r="H7" s="68" t="s">
        <v>83</v>
      </c>
      <c r="I7" s="68" t="s">
        <v>84</v>
      </c>
      <c r="J7" s="68" t="s">
        <v>40</v>
      </c>
      <c r="K7" s="68" t="s">
        <v>19</v>
      </c>
      <c r="L7" s="68" t="s">
        <v>111</v>
      </c>
      <c r="M7" s="68" t="s">
        <v>95</v>
      </c>
      <c r="N7" s="68" t="s">
        <v>99</v>
      </c>
      <c r="O7" s="68" t="s">
        <v>100</v>
      </c>
      <c r="P7" s="69" t="s">
        <v>101</v>
      </c>
    </row>
    <row r="8" spans="2:17" x14ac:dyDescent="0.45">
      <c r="B8" s="61" t="s">
        <v>10</v>
      </c>
      <c r="C8" s="62">
        <f>Input!C26</f>
        <v>0</v>
      </c>
      <c r="D8" s="62">
        <f>Input!C16</f>
        <v>0.1845</v>
      </c>
      <c r="E8" s="62">
        <f>Input!C27</f>
        <v>0.13627450980392156</v>
      </c>
      <c r="F8" s="62">
        <f>Input!C28</f>
        <v>0.13627450980392156</v>
      </c>
      <c r="G8" s="62">
        <f>Input!C29</f>
        <v>0.13627450980392156</v>
      </c>
      <c r="H8" s="62">
        <f>Input!C31</f>
        <v>6.8137254901960778E-2</v>
      </c>
      <c r="I8" s="62">
        <f>Input!C30</f>
        <v>0.13627450980392156</v>
      </c>
      <c r="J8" s="62">
        <f>Input!C32</f>
        <v>6.8137254901960778E-2</v>
      </c>
      <c r="K8" s="62">
        <f>Input!C33</f>
        <v>0.13627450980392156</v>
      </c>
      <c r="L8" s="62">
        <f>Input!C36</f>
        <v>0</v>
      </c>
      <c r="M8" s="62">
        <f>Input!C42</f>
        <v>0</v>
      </c>
      <c r="N8" s="62">
        <f>Input!C43</f>
        <v>0</v>
      </c>
      <c r="O8" s="62">
        <f>Input!C44</f>
        <v>0</v>
      </c>
      <c r="P8" s="63">
        <f>Input!C45</f>
        <v>0</v>
      </c>
      <c r="Q8" s="22">
        <f>1-SUM(C8:P8)</f>
        <v>-2.1470588235292798E-3</v>
      </c>
    </row>
    <row r="9" spans="2:17" x14ac:dyDescent="0.45">
      <c r="B9" s="64" t="s">
        <v>11</v>
      </c>
      <c r="C9" s="65">
        <f>$C$5*C$8</f>
        <v>0</v>
      </c>
      <c r="D9" s="65">
        <f t="shared" ref="D9:P9" si="0">$C$5*D$8</f>
        <v>3136500</v>
      </c>
      <c r="E9" s="65">
        <f>$C$5*E$8</f>
        <v>2316666.6666666665</v>
      </c>
      <c r="F9" s="65">
        <f t="shared" si="0"/>
        <v>2316666.6666666665</v>
      </c>
      <c r="G9" s="65">
        <f t="shared" si="0"/>
        <v>2316666.6666666665</v>
      </c>
      <c r="H9" s="65">
        <f t="shared" si="0"/>
        <v>1158333.3333333333</v>
      </c>
      <c r="I9" s="65">
        <f t="shared" si="0"/>
        <v>2316666.6666666665</v>
      </c>
      <c r="J9" s="65">
        <f t="shared" si="0"/>
        <v>1158333.3333333333</v>
      </c>
      <c r="K9" s="65">
        <f t="shared" si="0"/>
        <v>2316666.6666666665</v>
      </c>
      <c r="L9" s="65">
        <f t="shared" si="0"/>
        <v>0</v>
      </c>
      <c r="M9" s="65">
        <f t="shared" si="0"/>
        <v>0</v>
      </c>
      <c r="N9" s="65">
        <f t="shared" si="0"/>
        <v>0</v>
      </c>
      <c r="O9" s="65">
        <f t="shared" si="0"/>
        <v>0</v>
      </c>
      <c r="P9" s="66">
        <f t="shared" si="0"/>
        <v>0</v>
      </c>
    </row>
    <row r="10" spans="2:17" x14ac:dyDescent="0.45">
      <c r="B10" s="17" t="s">
        <v>50</v>
      </c>
      <c r="C10" s="161">
        <v>16820</v>
      </c>
      <c r="D10" s="55" t="str">
        <f>IF(C10&gt;375000,"Extra Large",IF(C10&gt;150000,"Large",IF(C10&gt;75000,"Medium",IF(C10&gt;20000,"Small","Extra Small"))))</f>
        <v>Extra Small</v>
      </c>
      <c r="E10" s="164">
        <v>8.6297479999999996E-2</v>
      </c>
      <c r="F10" s="164">
        <v>0.18899999999999997</v>
      </c>
      <c r="G10" s="164">
        <v>7.063313313313313E-2</v>
      </c>
      <c r="H10" s="167">
        <v>0.26671850699844479</v>
      </c>
      <c r="I10" s="35">
        <v>0.41</v>
      </c>
      <c r="J10" s="164">
        <v>0.10388846896783405</v>
      </c>
      <c r="K10" s="164">
        <v>1.370043472533263E-2</v>
      </c>
      <c r="L10" s="85">
        <v>361764</v>
      </c>
      <c r="M10" s="78" t="s">
        <v>4</v>
      </c>
      <c r="N10" s="78"/>
      <c r="O10" s="78"/>
      <c r="P10" s="79"/>
      <c r="Q10" s="7"/>
    </row>
    <row r="11" spans="2:17" x14ac:dyDescent="0.45">
      <c r="B11" s="18" t="s">
        <v>51</v>
      </c>
      <c r="C11" s="162">
        <v>94360</v>
      </c>
      <c r="D11" s="56" t="str">
        <f t="shared" ref="D11:D46" si="1">IF(C11&gt;375000,"Extra Large",IF(C11&gt;150000,"Large",IF(C11&gt;75000,"Medium",IF(C11&gt;20000,"Small","Extra Small"))))</f>
        <v>Medium</v>
      </c>
      <c r="E11" s="165">
        <v>4.0668929999999999E-2</v>
      </c>
      <c r="F11" s="165">
        <v>0.113</v>
      </c>
      <c r="G11" s="165">
        <v>0.14361773223435065</v>
      </c>
      <c r="H11" s="168">
        <v>0.2787920514707628</v>
      </c>
      <c r="I11" s="36">
        <v>0.188</v>
      </c>
      <c r="J11" s="165">
        <v>4.5600029431241265E-2</v>
      </c>
      <c r="K11" s="165">
        <v>4.7645036926935759E-2</v>
      </c>
      <c r="L11" s="86">
        <v>1791995</v>
      </c>
      <c r="M11" s="80" t="s">
        <v>4</v>
      </c>
      <c r="N11" s="80"/>
      <c r="O11" s="80"/>
      <c r="P11" s="81"/>
      <c r="Q11" s="7"/>
    </row>
    <row r="12" spans="2:17" x14ac:dyDescent="0.45">
      <c r="B12" s="18" t="s">
        <v>52</v>
      </c>
      <c r="C12" s="162">
        <v>423420</v>
      </c>
      <c r="D12" s="56" t="str">
        <f t="shared" si="1"/>
        <v>Extra Large</v>
      </c>
      <c r="E12" s="165">
        <v>5.6630379999999994E-2</v>
      </c>
      <c r="F12" s="165">
        <v>0.14499999999999999</v>
      </c>
      <c r="G12" s="165">
        <v>0.11963882618510158</v>
      </c>
      <c r="H12" s="168">
        <v>0.13811687940583775</v>
      </c>
      <c r="I12" s="36">
        <v>0.18099999999999999</v>
      </c>
      <c r="J12" s="165">
        <v>6.7258416497069859E-2</v>
      </c>
      <c r="K12" s="165">
        <v>4.0874504898895145E-2</v>
      </c>
      <c r="L12" s="86">
        <v>5019520</v>
      </c>
      <c r="M12" s="80" t="s">
        <v>4</v>
      </c>
      <c r="N12" s="80"/>
      <c r="O12" s="80"/>
      <c r="P12" s="81"/>
      <c r="Q12" s="7"/>
    </row>
    <row r="13" spans="2:17" x14ac:dyDescent="0.45">
      <c r="B13" s="18" t="s">
        <v>53</v>
      </c>
      <c r="C13" s="162">
        <v>39330</v>
      </c>
      <c r="D13" s="56" t="str">
        <f t="shared" si="1"/>
        <v>Small</v>
      </c>
      <c r="E13" s="165">
        <v>8.1797190000000006E-2</v>
      </c>
      <c r="F13" s="165">
        <v>0.15</v>
      </c>
      <c r="G13" s="165">
        <v>8.7962242622270634E-2</v>
      </c>
      <c r="H13" s="168">
        <v>0.22943563260789376</v>
      </c>
      <c r="I13" s="36">
        <v>0.39</v>
      </c>
      <c r="J13" s="165">
        <v>8.4374440665831399E-2</v>
      </c>
      <c r="K13" s="165">
        <v>3.0615877536489856E-2</v>
      </c>
      <c r="L13" s="86">
        <v>446000</v>
      </c>
      <c r="M13" s="80" t="s">
        <v>4</v>
      </c>
      <c r="N13" s="80"/>
      <c r="O13" s="80"/>
      <c r="P13" s="81"/>
      <c r="Q13" s="7"/>
    </row>
    <row r="14" spans="2:17" x14ac:dyDescent="0.45">
      <c r="B14" s="18" t="s">
        <v>54</v>
      </c>
      <c r="C14" s="162">
        <v>52750</v>
      </c>
      <c r="D14" s="56" t="str">
        <f t="shared" si="1"/>
        <v>Small</v>
      </c>
      <c r="E14" s="165">
        <v>7.1908329999999993E-2</v>
      </c>
      <c r="F14" s="165">
        <v>0.20499999999999999</v>
      </c>
      <c r="G14" s="165">
        <v>7.1640675699592926E-2</v>
      </c>
      <c r="H14" s="168">
        <v>0.21043750992536128</v>
      </c>
      <c r="I14" s="36">
        <v>0.436</v>
      </c>
      <c r="J14" s="165">
        <v>9.5876003321339609E-2</v>
      </c>
      <c r="K14" s="165">
        <v>1.3475133196508903E-2</v>
      </c>
      <c r="L14" s="86">
        <v>615328</v>
      </c>
      <c r="M14" s="80" t="s">
        <v>4</v>
      </c>
      <c r="N14" s="80"/>
      <c r="O14" s="80"/>
      <c r="P14" s="81"/>
      <c r="Q14" s="7"/>
    </row>
    <row r="15" spans="2:17" x14ac:dyDescent="0.45">
      <c r="B15" s="18" t="s">
        <v>55</v>
      </c>
      <c r="C15" s="162">
        <v>63290</v>
      </c>
      <c r="D15" s="56" t="str">
        <f t="shared" si="1"/>
        <v>Small</v>
      </c>
      <c r="E15" s="165">
        <v>9.8415849999999985E-2</v>
      </c>
      <c r="F15" s="165">
        <v>0.214</v>
      </c>
      <c r="G15" s="165">
        <v>0.11684147343147785</v>
      </c>
      <c r="H15" s="168">
        <v>0.29889760747123673</v>
      </c>
      <c r="I15" s="36">
        <v>0.38400000000000001</v>
      </c>
      <c r="J15" s="165">
        <v>0.11153339844579388</v>
      </c>
      <c r="K15" s="165">
        <v>1.4799926913941166E-2</v>
      </c>
      <c r="L15" s="86">
        <v>332653</v>
      </c>
      <c r="M15" s="80" t="s">
        <v>4</v>
      </c>
      <c r="N15" s="80"/>
      <c r="O15" s="80"/>
      <c r="P15" s="81"/>
      <c r="Q15" s="7"/>
    </row>
    <row r="16" spans="2:17" x14ac:dyDescent="0.45">
      <c r="B16" s="18" t="s">
        <v>56</v>
      </c>
      <c r="C16" s="162">
        <v>23440</v>
      </c>
      <c r="D16" s="56" t="str">
        <f t="shared" si="1"/>
        <v>Small</v>
      </c>
      <c r="E16" s="165">
        <v>8.3662790000000001E-2</v>
      </c>
      <c r="F16" s="165">
        <v>0.23</v>
      </c>
      <c r="G16" s="165">
        <v>7.2167256122129209E-2</v>
      </c>
      <c r="H16" s="168">
        <v>0.26902958152958151</v>
      </c>
      <c r="I16" s="36">
        <v>0.48</v>
      </c>
      <c r="J16" s="165">
        <v>0.12438408845090734</v>
      </c>
      <c r="K16" s="165">
        <v>1.2850082372322899E-2</v>
      </c>
      <c r="L16" s="86">
        <v>1584688</v>
      </c>
      <c r="M16" s="80" t="s">
        <v>4</v>
      </c>
      <c r="N16" s="80"/>
      <c r="O16" s="80"/>
      <c r="P16" s="81"/>
      <c r="Q16" s="7"/>
    </row>
    <row r="17" spans="2:17" x14ac:dyDescent="0.45">
      <c r="B17" s="18" t="s">
        <v>57</v>
      </c>
      <c r="C17" s="162">
        <v>23000</v>
      </c>
      <c r="D17" s="56" t="str">
        <f t="shared" si="1"/>
        <v>Small</v>
      </c>
      <c r="E17" s="165">
        <v>9.8974709999999994E-2</v>
      </c>
      <c r="F17" s="165">
        <v>0.20399999999999999</v>
      </c>
      <c r="G17" s="165">
        <v>9.2726707246634385E-2</v>
      </c>
      <c r="H17" s="168">
        <v>0.24108864278348205</v>
      </c>
      <c r="I17" s="36">
        <v>0.38700000000000001</v>
      </c>
      <c r="J17" s="165">
        <v>0.10947055258663435</v>
      </c>
      <c r="K17" s="165">
        <v>1.3102458447150332E-2</v>
      </c>
      <c r="L17" s="86">
        <v>703878</v>
      </c>
      <c r="M17" s="80" t="s">
        <v>4</v>
      </c>
      <c r="N17" s="80"/>
      <c r="O17" s="80"/>
      <c r="P17" s="81"/>
      <c r="Q17" s="7"/>
    </row>
    <row r="18" spans="2:17" x14ac:dyDescent="0.45">
      <c r="B18" s="18" t="s">
        <v>58</v>
      </c>
      <c r="C18" s="162">
        <v>193000</v>
      </c>
      <c r="D18" s="56" t="str">
        <f t="shared" si="1"/>
        <v>Large</v>
      </c>
      <c r="E18" s="165">
        <v>5.375133E-2</v>
      </c>
      <c r="F18" s="165">
        <v>0.13699999999999998</v>
      </c>
      <c r="G18" s="165">
        <v>6.5085252435783877E-2</v>
      </c>
      <c r="H18" s="168">
        <v>0.18767801513128615</v>
      </c>
      <c r="I18" s="36">
        <v>0.27600000000000002</v>
      </c>
      <c r="J18" s="165">
        <v>6.4709260039046049E-2</v>
      </c>
      <c r="K18" s="165">
        <v>2.1095839220861116E-2</v>
      </c>
      <c r="L18" s="86">
        <v>3814900</v>
      </c>
      <c r="M18" s="80" t="s">
        <v>4</v>
      </c>
      <c r="N18" s="80"/>
      <c r="O18" s="80"/>
      <c r="P18" s="81"/>
      <c r="Q18" s="7"/>
    </row>
    <row r="19" spans="2:17" x14ac:dyDescent="0.45">
      <c r="B19" s="18" t="s">
        <v>59</v>
      </c>
      <c r="C19" s="162">
        <v>112250</v>
      </c>
      <c r="D19" s="56" t="str">
        <f t="shared" si="1"/>
        <v>Medium</v>
      </c>
      <c r="E19" s="165">
        <v>0.10093575</v>
      </c>
      <c r="F19" s="165">
        <v>0.222</v>
      </c>
      <c r="G19" s="165">
        <v>7.483175318261126E-2</v>
      </c>
      <c r="H19" s="168">
        <v>0.27764111677500819</v>
      </c>
      <c r="I19" s="36">
        <v>0.41199999999999998</v>
      </c>
      <c r="J19" s="165">
        <v>0.10892266853651207</v>
      </c>
      <c r="K19" s="165">
        <v>1.1854937610714216E-2</v>
      </c>
      <c r="L19" s="86">
        <v>444652</v>
      </c>
      <c r="M19" s="80" t="s">
        <v>4</v>
      </c>
      <c r="N19" s="80"/>
      <c r="O19" s="80"/>
      <c r="P19" s="81"/>
      <c r="Q19" s="7"/>
    </row>
    <row r="20" spans="2:17" x14ac:dyDescent="0.45">
      <c r="B20" s="27" t="s">
        <v>91</v>
      </c>
      <c r="C20" s="162">
        <v>1990</v>
      </c>
      <c r="D20" s="53" t="str">
        <f t="shared" si="1"/>
        <v>Extra Small</v>
      </c>
      <c r="E20" s="54"/>
      <c r="F20" s="54"/>
      <c r="G20" s="165">
        <v>7.0267435762978503E-2</v>
      </c>
      <c r="H20" s="168">
        <v>0.2425039452919516</v>
      </c>
      <c r="I20" s="54"/>
      <c r="J20" s="165">
        <v>9.668508287292818E-2</v>
      </c>
      <c r="K20" s="165">
        <v>2.7442371020856202E-2</v>
      </c>
      <c r="L20" s="84"/>
      <c r="M20" s="80"/>
      <c r="N20" s="80"/>
      <c r="O20" s="80"/>
      <c r="P20" s="81"/>
      <c r="Q20" s="7"/>
    </row>
    <row r="21" spans="2:17" x14ac:dyDescent="0.45">
      <c r="B21" s="18" t="s">
        <v>60</v>
      </c>
      <c r="C21" s="162">
        <v>7360</v>
      </c>
      <c r="D21" s="56" t="str">
        <f t="shared" si="1"/>
        <v>Extra Small</v>
      </c>
      <c r="E21" s="165">
        <v>7.9334200000000007E-2</v>
      </c>
      <c r="F21" s="165">
        <v>0.155</v>
      </c>
      <c r="G21" s="165">
        <v>5.3181122093832661E-2</v>
      </c>
      <c r="H21" s="168">
        <v>0.27554486272289841</v>
      </c>
      <c r="I21" s="36">
        <v>1</v>
      </c>
      <c r="J21" s="165">
        <v>0.11228389444949954</v>
      </c>
      <c r="K21" s="165">
        <v>6.2718786464410732E-3</v>
      </c>
      <c r="L21" s="86">
        <v>0</v>
      </c>
      <c r="M21" s="80" t="s">
        <v>4</v>
      </c>
      <c r="N21" s="80"/>
      <c r="O21" s="80"/>
      <c r="P21" s="81"/>
      <c r="Q21" s="7"/>
    </row>
    <row r="22" spans="2:17" x14ac:dyDescent="0.45">
      <c r="B22" s="18" t="s">
        <v>61</v>
      </c>
      <c r="C22" s="162">
        <v>7360</v>
      </c>
      <c r="D22" s="56" t="str">
        <f t="shared" si="1"/>
        <v>Extra Small</v>
      </c>
      <c r="E22" s="165">
        <v>9.5802139999999994E-2</v>
      </c>
      <c r="F22" s="165">
        <v>0.122</v>
      </c>
      <c r="G22" s="165">
        <v>9.0896513558384059E-2</v>
      </c>
      <c r="H22" s="168">
        <v>0.27595435976898153</v>
      </c>
      <c r="I22" s="36">
        <v>0.443</v>
      </c>
      <c r="J22" s="165">
        <v>0.1021883920076118</v>
      </c>
      <c r="K22" s="165">
        <v>1.5169194865810968E-2</v>
      </c>
      <c r="L22" s="86">
        <v>172270</v>
      </c>
      <c r="M22" s="80" t="s">
        <v>4</v>
      </c>
      <c r="N22" s="80"/>
      <c r="O22" s="80"/>
      <c r="P22" s="81"/>
      <c r="Q22" s="7"/>
    </row>
    <row r="23" spans="2:17" x14ac:dyDescent="0.45">
      <c r="B23" s="18" t="s">
        <v>62</v>
      </c>
      <c r="C23" s="162">
        <v>25480</v>
      </c>
      <c r="D23" s="56" t="str">
        <f t="shared" si="1"/>
        <v>Small</v>
      </c>
      <c r="E23" s="165">
        <v>4.750973E-2</v>
      </c>
      <c r="F23" s="165">
        <v>0.16399999999999998</v>
      </c>
      <c r="G23" s="165">
        <v>0.13401928148372313</v>
      </c>
      <c r="H23" s="168">
        <v>0.2071000743234381</v>
      </c>
      <c r="I23" s="36">
        <v>0.52200000000000002</v>
      </c>
      <c r="J23" s="165">
        <v>0.18945337620578778</v>
      </c>
      <c r="K23" s="165">
        <v>0.15446440944154463</v>
      </c>
      <c r="L23" s="86">
        <v>729676</v>
      </c>
      <c r="M23" s="80" t="s">
        <v>4</v>
      </c>
      <c r="N23" s="80"/>
      <c r="O23" s="80"/>
      <c r="P23" s="81"/>
      <c r="Q23" s="7"/>
    </row>
    <row r="24" spans="2:17" x14ac:dyDescent="0.45">
      <c r="B24" s="18" t="s">
        <v>63</v>
      </c>
      <c r="C24" s="162">
        <v>221290</v>
      </c>
      <c r="D24" s="56" t="str">
        <f t="shared" si="1"/>
        <v>Large</v>
      </c>
      <c r="E24" s="165">
        <v>7.6263950000000011E-2</v>
      </c>
      <c r="F24" s="165">
        <v>0.184</v>
      </c>
      <c r="G24" s="165">
        <v>8.6331539621126913E-2</v>
      </c>
      <c r="H24" s="168">
        <v>0.26824137573224915</v>
      </c>
      <c r="I24" s="36">
        <v>0.20100000000000001</v>
      </c>
      <c r="J24" s="165">
        <v>0.10373965023348289</v>
      </c>
      <c r="K24" s="165">
        <v>3.5138513530205188E-2</v>
      </c>
      <c r="L24" s="86">
        <v>2298330</v>
      </c>
      <c r="M24" s="80" t="s">
        <v>4</v>
      </c>
      <c r="N24" s="80"/>
      <c r="O24" s="80"/>
      <c r="P24" s="81"/>
      <c r="Q24" s="7"/>
    </row>
    <row r="25" spans="2:17" x14ac:dyDescent="0.45">
      <c r="B25" s="18" t="s">
        <v>64</v>
      </c>
      <c r="C25" s="162">
        <v>23840</v>
      </c>
      <c r="D25" s="56" t="str">
        <f t="shared" si="1"/>
        <v>Small</v>
      </c>
      <c r="E25" s="165">
        <v>8.5968059999999999E-2</v>
      </c>
      <c r="F25" s="165">
        <v>0.13699999999999998</v>
      </c>
      <c r="G25" s="165">
        <v>0.28928833772631035</v>
      </c>
      <c r="H25" s="168">
        <v>0.30349789583239062</v>
      </c>
      <c r="I25" s="36">
        <v>0.63100000000000001</v>
      </c>
      <c r="J25" s="165">
        <v>0.14004805260495701</v>
      </c>
      <c r="K25" s="165">
        <v>4.9472082622527551E-2</v>
      </c>
      <c r="L25" s="86">
        <v>261557</v>
      </c>
      <c r="M25" s="80" t="s">
        <v>4</v>
      </c>
      <c r="N25" s="80"/>
      <c r="O25" s="80"/>
      <c r="P25" s="81"/>
      <c r="Q25" s="7"/>
    </row>
    <row r="26" spans="2:17" x14ac:dyDescent="0.45">
      <c r="B26" s="18" t="s">
        <v>65</v>
      </c>
      <c r="C26" s="162">
        <v>86750</v>
      </c>
      <c r="D26" s="56" t="str">
        <f t="shared" si="1"/>
        <v>Medium</v>
      </c>
      <c r="E26" s="165">
        <v>9.9210980000000004E-2</v>
      </c>
      <c r="F26" s="165">
        <v>0.218</v>
      </c>
      <c r="G26" s="165">
        <v>7.9491348954738486E-2</v>
      </c>
      <c r="H26" s="168">
        <v>0.33520512729383611</v>
      </c>
      <c r="I26" s="36">
        <v>0.45</v>
      </c>
      <c r="J26" s="165">
        <v>9.7927181538266198E-2</v>
      </c>
      <c r="K26" s="165">
        <v>1.3108498984552895E-2</v>
      </c>
      <c r="L26" s="86">
        <v>657998</v>
      </c>
      <c r="M26" s="80" t="s">
        <v>4</v>
      </c>
      <c r="N26" s="80"/>
      <c r="O26" s="80"/>
      <c r="P26" s="81"/>
      <c r="Q26" s="7"/>
    </row>
    <row r="27" spans="2:17" x14ac:dyDescent="0.45">
      <c r="B27" s="18" t="s">
        <v>66</v>
      </c>
      <c r="C27" s="162">
        <v>68190</v>
      </c>
      <c r="D27" s="56" t="str">
        <f t="shared" si="1"/>
        <v>Small</v>
      </c>
      <c r="E27" s="165">
        <v>9.6826550000000011E-2</v>
      </c>
      <c r="F27" s="165">
        <v>0.17399999999999999</v>
      </c>
      <c r="G27" s="165">
        <v>0.12005730659025787</v>
      </c>
      <c r="H27" s="168">
        <v>0.33197549770290963</v>
      </c>
      <c r="I27" s="36">
        <v>0.376</v>
      </c>
      <c r="J27" s="165">
        <v>0.12596828136800087</v>
      </c>
      <c r="K27" s="165">
        <v>3.3411008437123343E-2</v>
      </c>
      <c r="L27" s="86">
        <v>542426</v>
      </c>
      <c r="M27" s="80" t="s">
        <v>4</v>
      </c>
      <c r="N27" s="80"/>
      <c r="O27" s="80"/>
      <c r="P27" s="81"/>
      <c r="Q27" s="7"/>
    </row>
    <row r="28" spans="2:17" x14ac:dyDescent="0.45">
      <c r="B28" s="18" t="s">
        <v>67</v>
      </c>
      <c r="C28" s="162">
        <v>8080</v>
      </c>
      <c r="D28" s="56" t="str">
        <f t="shared" si="1"/>
        <v>Extra Small</v>
      </c>
      <c r="E28" s="165">
        <v>9.3079839999999997E-2</v>
      </c>
      <c r="F28" s="165">
        <v>0.17899999999999999</v>
      </c>
      <c r="G28" s="165">
        <v>8.9506566364911389E-2</v>
      </c>
      <c r="H28" s="168">
        <v>0.32648275862068965</v>
      </c>
      <c r="I28" s="36">
        <v>0.63300000000000001</v>
      </c>
      <c r="J28" s="165">
        <v>0.13104736038024103</v>
      </c>
      <c r="K28" s="165">
        <v>1.7890772128060263E-2</v>
      </c>
      <c r="L28" s="86">
        <v>187877</v>
      </c>
      <c r="M28" s="80" t="s">
        <v>4</v>
      </c>
      <c r="N28" s="80"/>
      <c r="O28" s="80"/>
      <c r="P28" s="81"/>
      <c r="Q28" s="7"/>
    </row>
    <row r="29" spans="2:17" x14ac:dyDescent="0.45">
      <c r="B29" s="18" t="s">
        <v>68</v>
      </c>
      <c r="C29" s="162">
        <v>378880</v>
      </c>
      <c r="D29" s="56" t="str">
        <f t="shared" si="1"/>
        <v>Extra Large</v>
      </c>
      <c r="E29" s="165">
        <v>6.8141679999999996E-2</v>
      </c>
      <c r="F29" s="165">
        <v>0.16600000000000001</v>
      </c>
      <c r="G29" s="165">
        <v>0.1300198979619499</v>
      </c>
      <c r="H29" s="168">
        <v>0.28730761886047818</v>
      </c>
      <c r="I29" s="36">
        <v>0.17499999999999999</v>
      </c>
      <c r="J29" s="165">
        <v>8.6174325107355759E-2</v>
      </c>
      <c r="K29" s="165">
        <v>2.5791358183192822E-2</v>
      </c>
      <c r="L29" s="86">
        <v>4024080</v>
      </c>
      <c r="M29" s="80" t="s">
        <v>4</v>
      </c>
      <c r="N29" s="80"/>
      <c r="O29" s="80"/>
      <c r="P29" s="81"/>
      <c r="Q29" s="7"/>
    </row>
    <row r="30" spans="2:17" x14ac:dyDescent="0.45">
      <c r="B30" s="18" t="s">
        <v>69</v>
      </c>
      <c r="C30" s="162">
        <v>48260</v>
      </c>
      <c r="D30" s="56" t="str">
        <f t="shared" si="1"/>
        <v>Small</v>
      </c>
      <c r="E30" s="165">
        <v>9.7818940000000007E-2</v>
      </c>
      <c r="F30" s="165">
        <v>0.21299999999999999</v>
      </c>
      <c r="G30" s="165">
        <v>0.11814707295169274</v>
      </c>
      <c r="H30" s="168">
        <v>0.28095601322145947</v>
      </c>
      <c r="I30" s="36">
        <v>0.376</v>
      </c>
      <c r="J30" s="165">
        <v>9.4152142042677966E-2</v>
      </c>
      <c r="K30" s="165">
        <v>1.9758771929824562E-2</v>
      </c>
      <c r="L30" s="86">
        <v>1458472</v>
      </c>
      <c r="M30" s="80" t="s">
        <v>4</v>
      </c>
      <c r="N30" s="80"/>
      <c r="O30" s="80"/>
      <c r="P30" s="81"/>
      <c r="Q30" s="7"/>
    </row>
    <row r="31" spans="2:17" x14ac:dyDescent="0.45">
      <c r="B31" s="18" t="s">
        <v>70</v>
      </c>
      <c r="C31" s="162">
        <v>126550</v>
      </c>
      <c r="D31" s="56" t="str">
        <f t="shared" si="1"/>
        <v>Medium</v>
      </c>
      <c r="E31" s="165">
        <v>7.4680110000000008E-2</v>
      </c>
      <c r="F31" s="165">
        <v>0.18100000000000002</v>
      </c>
      <c r="G31" s="165">
        <v>9.5881826320501337E-2</v>
      </c>
      <c r="H31" s="168">
        <v>0.25578581775085596</v>
      </c>
      <c r="I31" s="36">
        <v>0.316</v>
      </c>
      <c r="J31" s="165">
        <v>0.10089543820066277</v>
      </c>
      <c r="K31" s="165">
        <v>2.4106299860542066E-2</v>
      </c>
      <c r="L31" s="86">
        <v>1327242</v>
      </c>
      <c r="M31" s="80" t="s">
        <v>4</v>
      </c>
      <c r="N31" s="80"/>
      <c r="O31" s="80"/>
      <c r="P31" s="81"/>
      <c r="Q31" s="7"/>
    </row>
    <row r="32" spans="2:17" x14ac:dyDescent="0.45">
      <c r="B32" s="18" t="s">
        <v>71</v>
      </c>
      <c r="C32" s="162">
        <v>32030</v>
      </c>
      <c r="D32" s="56" t="str">
        <f t="shared" si="1"/>
        <v>Small</v>
      </c>
      <c r="E32" s="165">
        <v>7.7298069999999997E-2</v>
      </c>
      <c r="F32" s="165">
        <v>0.27100000000000002</v>
      </c>
      <c r="G32" s="165">
        <v>0.10926357990207354</v>
      </c>
      <c r="H32" s="168">
        <v>0.36521673972500096</v>
      </c>
      <c r="I32" s="36">
        <v>0.48399999999999999</v>
      </c>
      <c r="J32" s="165">
        <v>0.1910630959626699</v>
      </c>
      <c r="K32" s="165">
        <v>7.8250132298465336E-2</v>
      </c>
      <c r="L32" s="86">
        <v>474185</v>
      </c>
      <c r="M32" s="80" t="s">
        <v>4</v>
      </c>
      <c r="N32" s="80"/>
      <c r="O32" s="80"/>
      <c r="P32" s="81"/>
      <c r="Q32" s="7"/>
    </row>
    <row r="33" spans="2:17" x14ac:dyDescent="0.45">
      <c r="B33" s="18" t="s">
        <v>72</v>
      </c>
      <c r="C33" s="162">
        <v>347760</v>
      </c>
      <c r="D33" s="56" t="str">
        <f t="shared" si="1"/>
        <v>Large</v>
      </c>
      <c r="E33" s="165">
        <v>6.3607510000000006E-2</v>
      </c>
      <c r="F33" s="165">
        <v>0.192</v>
      </c>
      <c r="G33" s="165">
        <v>0.18943058175608621</v>
      </c>
      <c r="H33" s="168">
        <v>0.27417406553517121</v>
      </c>
      <c r="I33" s="36">
        <v>0.13100000000000001</v>
      </c>
      <c r="J33" s="165">
        <v>0.14741470645743621</v>
      </c>
      <c r="K33" s="165">
        <v>0.10408129343246751</v>
      </c>
      <c r="L33" s="86">
        <v>4647307</v>
      </c>
      <c r="M33" s="80" t="s">
        <v>4</v>
      </c>
      <c r="N33" s="80"/>
      <c r="O33" s="80"/>
      <c r="P33" s="81"/>
      <c r="Q33" s="7"/>
    </row>
    <row r="34" spans="2:17" x14ac:dyDescent="0.45">
      <c r="B34" s="18" t="s">
        <v>73</v>
      </c>
      <c r="C34" s="162">
        <v>12680</v>
      </c>
      <c r="D34" s="56" t="str">
        <f t="shared" si="1"/>
        <v>Extra Small</v>
      </c>
      <c r="E34" s="165">
        <v>6.6599549999999993E-2</v>
      </c>
      <c r="F34" s="165">
        <v>0.312</v>
      </c>
      <c r="G34" s="165">
        <v>0.11404369148461882</v>
      </c>
      <c r="H34" s="168">
        <v>0.29377013963480131</v>
      </c>
      <c r="I34" s="36">
        <v>0.45900000000000002</v>
      </c>
      <c r="J34" s="165">
        <v>0.24689265536723165</v>
      </c>
      <c r="K34" s="165">
        <v>0.15267839876232836</v>
      </c>
      <c r="L34" s="86">
        <v>712823</v>
      </c>
      <c r="M34" s="80" t="s">
        <v>4</v>
      </c>
      <c r="N34" s="80"/>
      <c r="O34" s="80"/>
      <c r="P34" s="81"/>
      <c r="Q34" s="7"/>
    </row>
    <row r="35" spans="2:17" x14ac:dyDescent="0.45">
      <c r="B35" s="18" t="s">
        <v>74</v>
      </c>
      <c r="C35" s="162">
        <v>821730</v>
      </c>
      <c r="D35" s="56" t="str">
        <f t="shared" si="1"/>
        <v>Extra Large</v>
      </c>
      <c r="E35" s="165">
        <v>6.2221129999999999E-2</v>
      </c>
      <c r="F35" s="165">
        <v>0.161</v>
      </c>
      <c r="G35" s="165">
        <v>0.22188526345181289</v>
      </c>
      <c r="H35" s="168">
        <v>0.23381795591069882</v>
      </c>
      <c r="I35" s="36">
        <v>1.2999999999999999E-2</v>
      </c>
      <c r="J35" s="165">
        <v>8.7056662281201555E-2</v>
      </c>
      <c r="K35" s="165">
        <v>8.4254448034793039E-2</v>
      </c>
      <c r="L35" s="86">
        <v>25329190</v>
      </c>
      <c r="M35" s="80" t="s">
        <v>4</v>
      </c>
      <c r="N35" s="80"/>
      <c r="O35" s="80"/>
      <c r="P35" s="81"/>
      <c r="Q35" s="7"/>
    </row>
    <row r="36" spans="2:17" x14ac:dyDescent="0.45">
      <c r="B36" s="48" t="s">
        <v>85</v>
      </c>
      <c r="C36" s="53">
        <v>31000</v>
      </c>
      <c r="D36" s="53" t="str">
        <f t="shared" si="1"/>
        <v>Small</v>
      </c>
      <c r="E36" s="54">
        <v>8.1669599999999995E-2</v>
      </c>
      <c r="F36" s="54">
        <v>0.13800000000000001</v>
      </c>
      <c r="G36" s="54">
        <v>0.11961331608686772</v>
      </c>
      <c r="H36" s="186">
        <v>0.23854671280276818</v>
      </c>
      <c r="I36" s="36">
        <v>0.41499999999999998</v>
      </c>
      <c r="J36" s="54">
        <v>0.13515598630599354</v>
      </c>
      <c r="K36" s="54">
        <v>5.4470336679592647E-2</v>
      </c>
      <c r="L36" s="86">
        <v>772441</v>
      </c>
      <c r="M36" s="80" t="s">
        <v>4</v>
      </c>
      <c r="N36" s="80"/>
      <c r="O36" s="80"/>
      <c r="P36" s="81"/>
      <c r="Q36" s="7"/>
    </row>
    <row r="37" spans="2:17" x14ac:dyDescent="0.45">
      <c r="B37" s="18" t="s">
        <v>75</v>
      </c>
      <c r="C37" s="162">
        <v>82940</v>
      </c>
      <c r="D37" s="56" t="str">
        <f t="shared" si="1"/>
        <v>Medium</v>
      </c>
      <c r="E37" s="165">
        <v>6.0078370000000006E-2</v>
      </c>
      <c r="F37" s="165">
        <v>0.183</v>
      </c>
      <c r="G37" s="165">
        <v>0.12019354759477814</v>
      </c>
      <c r="H37" s="168">
        <v>0.23463420155701728</v>
      </c>
      <c r="I37" s="36">
        <v>0.19900000000000001</v>
      </c>
      <c r="J37" s="165">
        <v>9.566050387968196E-2</v>
      </c>
      <c r="K37" s="165">
        <v>5.112740819862184E-2</v>
      </c>
      <c r="L37" s="86">
        <v>291010</v>
      </c>
      <c r="M37" s="80" t="s">
        <v>4</v>
      </c>
      <c r="N37" s="80"/>
      <c r="O37" s="80"/>
      <c r="P37" s="81"/>
      <c r="Q37" s="7"/>
    </row>
    <row r="38" spans="2:17" x14ac:dyDescent="0.45">
      <c r="B38" s="27" t="s">
        <v>92</v>
      </c>
      <c r="C38" s="162">
        <v>1770</v>
      </c>
      <c r="D38" s="53" t="str">
        <f t="shared" si="1"/>
        <v>Extra Small</v>
      </c>
      <c r="E38" s="54"/>
      <c r="F38" s="54"/>
      <c r="G38" s="165">
        <v>4.5482866043613707E-2</v>
      </c>
      <c r="H38" s="168">
        <v>0.22423485321673953</v>
      </c>
      <c r="I38" s="54"/>
      <c r="J38" s="165">
        <v>8.6429725363489501E-2</v>
      </c>
      <c r="K38" s="165">
        <v>2.5974025974025974E-3</v>
      </c>
      <c r="L38" s="86"/>
      <c r="M38" s="80"/>
      <c r="N38" s="80"/>
      <c r="O38" s="80"/>
      <c r="P38" s="81"/>
      <c r="Q38" s="7"/>
    </row>
    <row r="39" spans="2:17" x14ac:dyDescent="0.45">
      <c r="B39" s="18" t="s">
        <v>76</v>
      </c>
      <c r="C39" s="162">
        <v>26500</v>
      </c>
      <c r="D39" s="56" t="str">
        <f t="shared" si="1"/>
        <v>Small</v>
      </c>
      <c r="E39" s="165">
        <v>8.2220169999999995E-2</v>
      </c>
      <c r="F39" s="165">
        <v>0.16899999999999998</v>
      </c>
      <c r="G39" s="165">
        <v>7.5088203712225798E-2</v>
      </c>
      <c r="H39" s="168">
        <v>0.25437453094758461</v>
      </c>
      <c r="I39" s="36">
        <v>0.69599999999999995</v>
      </c>
      <c r="J39" s="165">
        <v>9.6828904764352158E-2</v>
      </c>
      <c r="K39" s="165">
        <v>3.1383278345537939E-2</v>
      </c>
      <c r="L39" s="86">
        <v>119798</v>
      </c>
      <c r="M39" s="80" t="s">
        <v>4</v>
      </c>
      <c r="N39" s="80"/>
      <c r="O39" s="80"/>
      <c r="P39" s="81"/>
      <c r="Q39" s="7"/>
    </row>
    <row r="40" spans="2:17" x14ac:dyDescent="0.45">
      <c r="B40" s="18" t="s">
        <v>77</v>
      </c>
      <c r="C40" s="162">
        <v>81160</v>
      </c>
      <c r="D40" s="56" t="str">
        <f t="shared" si="1"/>
        <v>Medium</v>
      </c>
      <c r="E40" s="165">
        <v>7.0862040000000001E-2</v>
      </c>
      <c r="F40" s="165">
        <v>0.184</v>
      </c>
      <c r="G40" s="165">
        <v>0.14515331998231423</v>
      </c>
      <c r="H40" s="168">
        <v>0.2947186267045061</v>
      </c>
      <c r="I40" s="36">
        <v>0.29099999999999998</v>
      </c>
      <c r="J40" s="165">
        <v>0.1782276866667995</v>
      </c>
      <c r="K40" s="165">
        <v>0.10513829579390996</v>
      </c>
      <c r="L40" s="86">
        <v>532317</v>
      </c>
      <c r="M40" s="80" t="s">
        <v>4</v>
      </c>
      <c r="N40" s="80"/>
      <c r="O40" s="80"/>
      <c r="P40" s="81"/>
      <c r="Q40" s="7"/>
    </row>
    <row r="41" spans="2:17" x14ac:dyDescent="0.45">
      <c r="B41" s="18" t="s">
        <v>78</v>
      </c>
      <c r="C41" s="162">
        <v>26840</v>
      </c>
      <c r="D41" s="56" t="str">
        <f t="shared" si="1"/>
        <v>Small</v>
      </c>
      <c r="E41" s="165">
        <v>7.7874589999999994E-2</v>
      </c>
      <c r="F41" s="165">
        <v>0.106</v>
      </c>
      <c r="G41" s="165">
        <v>7.9414476717381277E-2</v>
      </c>
      <c r="H41" s="168">
        <v>0.30462135000395663</v>
      </c>
      <c r="I41" s="36">
        <v>0.42099999999999999</v>
      </c>
      <c r="J41" s="165">
        <v>7.6918634867471275E-2</v>
      </c>
      <c r="K41" s="165">
        <v>1.6070990431013329E-2</v>
      </c>
      <c r="L41" s="86">
        <v>153290</v>
      </c>
      <c r="M41" s="80" t="s">
        <v>4</v>
      </c>
      <c r="N41" s="80"/>
      <c r="O41" s="80"/>
      <c r="P41" s="81"/>
      <c r="Q41" s="7"/>
    </row>
    <row r="42" spans="2:17" x14ac:dyDescent="0.45">
      <c r="B42" s="18" t="s">
        <v>79</v>
      </c>
      <c r="C42" s="162">
        <v>7150</v>
      </c>
      <c r="D42" s="56" t="str">
        <f t="shared" si="1"/>
        <v>Extra Small</v>
      </c>
      <c r="E42" s="165">
        <v>6.8052559999999998E-2</v>
      </c>
      <c r="F42" s="165">
        <v>0.14899999999999999</v>
      </c>
      <c r="G42" s="165">
        <v>4.9393414211438474E-2</v>
      </c>
      <c r="H42" s="168">
        <v>0.25040316669110102</v>
      </c>
      <c r="I42" s="36">
        <v>1</v>
      </c>
      <c r="J42" s="165">
        <v>7.5023041474654384E-2</v>
      </c>
      <c r="K42" s="165">
        <v>1.0912397696271597E-2</v>
      </c>
      <c r="L42" s="86">
        <v>0</v>
      </c>
      <c r="M42" s="80" t="s">
        <v>4</v>
      </c>
      <c r="N42" s="80"/>
      <c r="O42" s="80"/>
      <c r="P42" s="81"/>
      <c r="Q42" s="7"/>
    </row>
    <row r="43" spans="2:17" x14ac:dyDescent="0.45">
      <c r="B43" s="27" t="s">
        <v>93</v>
      </c>
      <c r="C43" s="162">
        <v>27240</v>
      </c>
      <c r="D43" s="53" t="str">
        <f t="shared" si="1"/>
        <v>Small</v>
      </c>
      <c r="E43" s="54"/>
      <c r="F43" s="54"/>
      <c r="G43" s="165">
        <v>0.12785123327920822</v>
      </c>
      <c r="H43" s="168">
        <v>0.23915268918812504</v>
      </c>
      <c r="I43" s="54"/>
      <c r="J43" s="165">
        <v>0.1415831163795491</v>
      </c>
      <c r="K43" s="165">
        <v>5.9799430481614464E-2</v>
      </c>
      <c r="L43" s="86"/>
      <c r="M43" s="80"/>
      <c r="N43" s="80"/>
      <c r="O43" s="80"/>
      <c r="P43" s="81"/>
      <c r="Q43" s="7"/>
    </row>
    <row r="44" spans="2:17" x14ac:dyDescent="0.45">
      <c r="B44" s="18" t="s">
        <v>80</v>
      </c>
      <c r="C44" s="162">
        <v>613410</v>
      </c>
      <c r="D44" s="56" t="str">
        <f t="shared" si="1"/>
        <v>Extra Large</v>
      </c>
      <c r="E44" s="165">
        <v>4.2650979999999998E-2</v>
      </c>
      <c r="F44" s="165">
        <v>0.151</v>
      </c>
      <c r="G44" s="165">
        <v>0.2386094692353834</v>
      </c>
      <c r="H44" s="168">
        <v>0.16330220782308263</v>
      </c>
      <c r="I44" s="36">
        <v>5.6000000000000001E-2</v>
      </c>
      <c r="J44" s="165">
        <v>8.3950044504063362E-2</v>
      </c>
      <c r="K44" s="165">
        <v>9.0625859571268771E-2</v>
      </c>
      <c r="L44" s="86">
        <v>8674852</v>
      </c>
      <c r="M44" s="80" t="s">
        <v>4</v>
      </c>
      <c r="N44" s="80"/>
      <c r="O44" s="80"/>
      <c r="P44" s="81"/>
      <c r="Q44" s="7"/>
    </row>
    <row r="45" spans="2:17" x14ac:dyDescent="0.45">
      <c r="B45" s="18" t="s">
        <v>81</v>
      </c>
      <c r="C45" s="162">
        <v>1440</v>
      </c>
      <c r="D45" s="56" t="str">
        <f t="shared" si="1"/>
        <v>Extra Small</v>
      </c>
      <c r="E45" s="165">
        <v>6.5306119999999995E-2</v>
      </c>
      <c r="F45" s="165">
        <v>0.33399999999999996</v>
      </c>
      <c r="G45" s="165">
        <v>6.1711079943899017E-2</v>
      </c>
      <c r="H45" s="168">
        <v>0.3383084577114428</v>
      </c>
      <c r="I45" s="36">
        <v>1</v>
      </c>
      <c r="J45" s="165">
        <v>7.9234972677595633E-2</v>
      </c>
      <c r="K45" s="165">
        <v>7.3637702503681884E-4</v>
      </c>
      <c r="L45" s="86">
        <v>6791</v>
      </c>
      <c r="M45" s="80" t="s">
        <v>4</v>
      </c>
      <c r="N45" s="80"/>
      <c r="O45" s="80"/>
      <c r="P45" s="81"/>
      <c r="Q45" s="7"/>
    </row>
    <row r="46" spans="2:17" x14ac:dyDescent="0.45">
      <c r="B46" s="19" t="s">
        <v>82</v>
      </c>
      <c r="C46" s="163">
        <v>108060</v>
      </c>
      <c r="D46" s="57" t="str">
        <f t="shared" si="1"/>
        <v>Medium</v>
      </c>
      <c r="E46" s="166">
        <v>6.2846349999999995E-2</v>
      </c>
      <c r="F46" s="166">
        <v>0.184</v>
      </c>
      <c r="G46" s="166">
        <v>0.11686572914659989</v>
      </c>
      <c r="H46" s="169">
        <v>0.21567317522496532</v>
      </c>
      <c r="I46" s="37">
        <v>0.22600000000000001</v>
      </c>
      <c r="J46" s="166">
        <v>0.11749373577949944</v>
      </c>
      <c r="K46" s="166">
        <v>5.2806933273375781E-2</v>
      </c>
      <c r="L46" s="87">
        <v>1553242</v>
      </c>
      <c r="M46" s="82" t="s">
        <v>4</v>
      </c>
      <c r="N46" s="82"/>
      <c r="O46" s="82"/>
      <c r="P46" s="83"/>
      <c r="Q46" s="7"/>
    </row>
    <row r="47" spans="2:17" ht="14.65" thickBot="1" x14ac:dyDescent="0.5">
      <c r="C47" s="16">
        <f>SUM(C10:C46)-C36</f>
        <v>4236400</v>
      </c>
      <c r="D47" s="51"/>
    </row>
    <row r="48" spans="2:17" ht="14.65" thickTop="1" x14ac:dyDescent="0.45"/>
    <row r="49" spans="11:11" x14ac:dyDescent="0.45">
      <c r="K49" s="38"/>
    </row>
    <row r="50" spans="11:11" x14ac:dyDescent="0.45">
      <c r="K50" s="38"/>
    </row>
    <row r="51" spans="11:11" x14ac:dyDescent="0.45">
      <c r="K51" s="38"/>
    </row>
    <row r="52" spans="11:11" x14ac:dyDescent="0.45">
      <c r="K52" s="38"/>
    </row>
  </sheetData>
  <pageMargins left="0.7" right="0.7" top="0.75" bottom="0.75" header="0.3" footer="0.3"/>
  <pageSetup scale="6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3:F41"/>
  <sheetViews>
    <sheetView workbookViewId="0">
      <selection activeCell="C7" sqref="C7"/>
    </sheetView>
  </sheetViews>
  <sheetFormatPr defaultRowHeight="14.25" x14ac:dyDescent="0.45"/>
  <cols>
    <col min="2" max="2" width="17.3984375" bestFit="1" customWidth="1"/>
    <col min="3" max="3" width="11.86328125" bestFit="1" customWidth="1"/>
    <col min="4" max="4" width="7.1328125" customWidth="1"/>
    <col min="5" max="5" width="14.1328125" customWidth="1"/>
    <col min="6" max="6" width="10" bestFit="1" customWidth="1"/>
    <col min="7" max="7" width="13.59765625" bestFit="1" customWidth="1"/>
  </cols>
  <sheetData>
    <row r="3" spans="2:6" x14ac:dyDescent="0.45">
      <c r="B3" t="s">
        <v>0</v>
      </c>
      <c r="C3" s="1">
        <f>'County Data'!C5</f>
        <v>17000000</v>
      </c>
    </row>
    <row r="4" spans="2:6" x14ac:dyDescent="0.45">
      <c r="B4" t="s">
        <v>41</v>
      </c>
      <c r="C4" s="14">
        <f>'County Data'!C9</f>
        <v>0</v>
      </c>
    </row>
    <row r="6" spans="2:6" s="2" customFormat="1" ht="28.5" x14ac:dyDescent="0.45">
      <c r="B6" s="3" t="s">
        <v>7</v>
      </c>
      <c r="C6" s="3" t="s">
        <v>1</v>
      </c>
      <c r="D6" s="3" t="s">
        <v>3</v>
      </c>
      <c r="E6" s="13" t="s">
        <v>13</v>
      </c>
      <c r="F6" s="3" t="s">
        <v>6</v>
      </c>
    </row>
    <row r="7" spans="2:6" x14ac:dyDescent="0.45">
      <c r="B7" s="20" t="str">
        <f>+'County Data'!$B$10</f>
        <v>Baker</v>
      </c>
      <c r="C7" s="15">
        <f>VLOOKUP($B7,'County Data'!$B$10:$P$46,2,FALSE)</f>
        <v>16820</v>
      </c>
      <c r="D7" s="6">
        <f t="shared" ref="D7:D40" si="0">C7/$C$41</f>
        <v>3.9703521858181472E-3</v>
      </c>
      <c r="E7" s="14">
        <f t="shared" ref="E7:E40" si="1">$C$4*D7</f>
        <v>0</v>
      </c>
      <c r="F7" s="10">
        <f t="shared" ref="F7:F40" si="2">E7/C7</f>
        <v>0</v>
      </c>
    </row>
    <row r="8" spans="2:6" x14ac:dyDescent="0.45">
      <c r="B8" s="20" t="str">
        <f>+'County Data'!$B$19</f>
        <v>Douglas</v>
      </c>
      <c r="C8" s="15">
        <f>VLOOKUP($B8,'County Data'!$B$10:$P$46,2,FALSE)</f>
        <v>112250</v>
      </c>
      <c r="D8" s="6">
        <f t="shared" si="0"/>
        <v>2.6496553677650837E-2</v>
      </c>
      <c r="E8" s="14">
        <f t="shared" si="1"/>
        <v>0</v>
      </c>
      <c r="F8" s="10">
        <f t="shared" si="2"/>
        <v>0</v>
      </c>
    </row>
    <row r="9" spans="2:6" x14ac:dyDescent="0.45">
      <c r="B9" s="20" t="str">
        <f>+'County Data'!$B$23</f>
        <v>Hood River</v>
      </c>
      <c r="C9" s="15">
        <f>VLOOKUP($B9,'County Data'!$B$10:$P$46,2,FALSE)</f>
        <v>25480</v>
      </c>
      <c r="D9" s="6">
        <f t="shared" si="0"/>
        <v>6.014540647719762E-3</v>
      </c>
      <c r="E9" s="14">
        <f t="shared" si="1"/>
        <v>0</v>
      </c>
      <c r="F9" s="10">
        <f t="shared" si="2"/>
        <v>0</v>
      </c>
    </row>
    <row r="10" spans="2:6" x14ac:dyDescent="0.45">
      <c r="B10" s="20" t="str">
        <f>+'County Data'!$B$24</f>
        <v>Jackson</v>
      </c>
      <c r="C10" s="15">
        <f>VLOOKUP($B10,'County Data'!$B$10:$P$46,2,FALSE)</f>
        <v>221290</v>
      </c>
      <c r="D10" s="6">
        <f t="shared" si="0"/>
        <v>5.2235388537437449E-2</v>
      </c>
      <c r="E10" s="14">
        <f t="shared" si="1"/>
        <v>0</v>
      </c>
      <c r="F10" s="10">
        <f t="shared" si="2"/>
        <v>0</v>
      </c>
    </row>
    <row r="11" spans="2:6" x14ac:dyDescent="0.45">
      <c r="B11" s="20" t="str">
        <f>+'County Data'!$B$25</f>
        <v>Jefferson</v>
      </c>
      <c r="C11" s="15">
        <f>VLOOKUP($B11,'County Data'!$B$10:$P$46,2,FALSE)</f>
        <v>23840</v>
      </c>
      <c r="D11" s="6">
        <f t="shared" si="0"/>
        <v>5.6274195071286939E-3</v>
      </c>
      <c r="E11" s="14">
        <f t="shared" si="1"/>
        <v>0</v>
      </c>
      <c r="F11" s="10">
        <f t="shared" si="2"/>
        <v>0</v>
      </c>
    </row>
    <row r="12" spans="2:6" x14ac:dyDescent="0.45">
      <c r="B12" s="20" t="str">
        <f>+'County Data'!$B$26</f>
        <v>Josephine</v>
      </c>
      <c r="C12" s="15">
        <f>VLOOKUP($B12,'County Data'!$B$10:$P$46,2,FALSE)</f>
        <v>86750</v>
      </c>
      <c r="D12" s="6">
        <f t="shared" si="0"/>
        <v>2.0477292040411672E-2</v>
      </c>
      <c r="E12" s="14">
        <f t="shared" si="1"/>
        <v>0</v>
      </c>
      <c r="F12" s="10">
        <f t="shared" si="2"/>
        <v>0</v>
      </c>
    </row>
    <row r="13" spans="2:6" x14ac:dyDescent="0.45">
      <c r="B13" s="20" t="str">
        <f>+'County Data'!$B$27</f>
        <v>Klamath</v>
      </c>
      <c r="C13" s="15">
        <f>VLOOKUP($B13,'County Data'!$B$10:$P$46,2,FALSE)</f>
        <v>68190</v>
      </c>
      <c r="D13" s="6">
        <f t="shared" si="0"/>
        <v>1.6096213766405437E-2</v>
      </c>
      <c r="E13" s="14">
        <f t="shared" si="1"/>
        <v>0</v>
      </c>
      <c r="F13" s="10">
        <f t="shared" si="2"/>
        <v>0</v>
      </c>
    </row>
    <row r="14" spans="2:6" x14ac:dyDescent="0.45">
      <c r="B14" s="20" t="str">
        <f>+'County Data'!$B$29</f>
        <v>Lane</v>
      </c>
      <c r="C14" s="15">
        <f>VLOOKUP($B14,'County Data'!$B$10:$P$46,2,FALSE)</f>
        <v>378880</v>
      </c>
      <c r="D14" s="6">
        <f t="shared" si="0"/>
        <v>8.9434425455575492E-2</v>
      </c>
      <c r="E14" s="14">
        <f t="shared" si="1"/>
        <v>0</v>
      </c>
      <c r="F14" s="10">
        <f t="shared" si="2"/>
        <v>0</v>
      </c>
    </row>
    <row r="15" spans="2:6" x14ac:dyDescent="0.45">
      <c r="B15" s="20" t="str">
        <f>+'County Data'!$B$11</f>
        <v>Benton</v>
      </c>
      <c r="C15" s="15">
        <f>VLOOKUP($B15,'County Data'!$B$10:$P$46,2,FALSE)</f>
        <v>94360</v>
      </c>
      <c r="D15" s="6">
        <f t="shared" si="0"/>
        <v>2.2273628552544614E-2</v>
      </c>
      <c r="E15" s="14">
        <f t="shared" si="1"/>
        <v>0</v>
      </c>
      <c r="F15" s="10">
        <f t="shared" si="2"/>
        <v>0</v>
      </c>
    </row>
    <row r="16" spans="2:6" x14ac:dyDescent="0.45">
      <c r="B16" s="20" t="str">
        <f>+'County Data'!$B$30</f>
        <v>Lincoln</v>
      </c>
      <c r="C16" s="15">
        <f>VLOOKUP($B16,'County Data'!$B$10:$P$46,2,FALSE)</f>
        <v>48260</v>
      </c>
      <c r="D16" s="6">
        <f t="shared" si="0"/>
        <v>1.1391747710320083E-2</v>
      </c>
      <c r="E16" s="14">
        <f t="shared" si="1"/>
        <v>0</v>
      </c>
      <c r="F16" s="10">
        <f t="shared" si="2"/>
        <v>0</v>
      </c>
    </row>
    <row r="17" spans="2:6" x14ac:dyDescent="0.45">
      <c r="B17" s="20" t="str">
        <f>+'County Data'!$B$31</f>
        <v>Linn</v>
      </c>
      <c r="C17" s="15">
        <f>VLOOKUP($B17,'County Data'!$B$10:$P$46,2,FALSE)</f>
        <v>126550</v>
      </c>
      <c r="D17" s="6">
        <f t="shared" si="0"/>
        <v>2.9872061184024173E-2</v>
      </c>
      <c r="E17" s="14">
        <f t="shared" si="1"/>
        <v>0</v>
      </c>
      <c r="F17" s="10">
        <f t="shared" si="2"/>
        <v>0</v>
      </c>
    </row>
    <row r="18" spans="2:6" x14ac:dyDescent="0.45">
      <c r="B18" s="20" t="str">
        <f>+'County Data'!$B$32</f>
        <v>Malheur</v>
      </c>
      <c r="C18" s="15">
        <f>VLOOKUP($B18,'County Data'!$B$10:$P$46,2,FALSE)</f>
        <v>32030</v>
      </c>
      <c r="D18" s="6">
        <f t="shared" si="0"/>
        <v>7.5606647153243318E-3</v>
      </c>
      <c r="E18" s="14">
        <f t="shared" si="1"/>
        <v>0</v>
      </c>
      <c r="F18" s="10">
        <f t="shared" si="2"/>
        <v>0</v>
      </c>
    </row>
    <row r="19" spans="2:6" x14ac:dyDescent="0.45">
      <c r="B19" s="20" t="str">
        <f>+'County Data'!$B$33</f>
        <v>Marion</v>
      </c>
      <c r="C19" s="15">
        <f>VLOOKUP($B19,'County Data'!$B$10:$P$46,2,FALSE)</f>
        <v>347760</v>
      </c>
      <c r="D19" s="6">
        <f t="shared" si="0"/>
        <v>8.2088565763384011E-2</v>
      </c>
      <c r="E19" s="14">
        <f t="shared" si="1"/>
        <v>0</v>
      </c>
      <c r="F19" s="10">
        <f t="shared" si="2"/>
        <v>0</v>
      </c>
    </row>
    <row r="20" spans="2:6" x14ac:dyDescent="0.45">
      <c r="B20" s="20" t="str">
        <f>+'County Data'!$B$34</f>
        <v>Morrow</v>
      </c>
      <c r="C20" s="15">
        <f>VLOOKUP($B20,'County Data'!$B$10:$P$46,2,FALSE)</f>
        <v>12680</v>
      </c>
      <c r="D20" s="6">
        <f t="shared" si="0"/>
        <v>2.9931073553016714E-3</v>
      </c>
      <c r="E20" s="14">
        <f t="shared" si="1"/>
        <v>0</v>
      </c>
      <c r="F20" s="10">
        <f t="shared" si="2"/>
        <v>0</v>
      </c>
    </row>
    <row r="21" spans="2:6" x14ac:dyDescent="0.45">
      <c r="B21" s="20" t="str">
        <f>+'County Data'!$B$35</f>
        <v>Multnomah</v>
      </c>
      <c r="C21" s="15">
        <f>VLOOKUP($B21,'County Data'!$B$10:$P$46,2,FALSE)</f>
        <v>821730</v>
      </c>
      <c r="D21" s="6">
        <f t="shared" si="0"/>
        <v>0.19396893588896233</v>
      </c>
      <c r="E21" s="14">
        <f t="shared" si="1"/>
        <v>0</v>
      </c>
      <c r="F21" s="10">
        <f t="shared" si="2"/>
        <v>0</v>
      </c>
    </row>
    <row r="22" spans="2:6" x14ac:dyDescent="0.45">
      <c r="B22" s="20" t="str">
        <f>+'County Data'!$B$36</f>
        <v>Gilliam, Sherman, Wasco</v>
      </c>
      <c r="C22" s="15">
        <f>VLOOKUP($B22,'County Data'!$B$10:$P$46,2,FALSE)</f>
        <v>31000</v>
      </c>
      <c r="D22" s="6">
        <f t="shared" si="0"/>
        <v>7.3175337550750634E-3</v>
      </c>
      <c r="E22" s="14">
        <f t="shared" si="1"/>
        <v>0</v>
      </c>
      <c r="F22" s="10">
        <f t="shared" si="2"/>
        <v>0</v>
      </c>
    </row>
    <row r="23" spans="2:6" x14ac:dyDescent="0.45">
      <c r="B23" s="20" t="str">
        <f>+'County Data'!$B$37</f>
        <v>Polk</v>
      </c>
      <c r="C23" s="15">
        <f>VLOOKUP($B23,'County Data'!$B$10:$P$46,2,FALSE)</f>
        <v>82940</v>
      </c>
      <c r="D23" s="6">
        <f t="shared" si="0"/>
        <v>1.9577943536965348E-2</v>
      </c>
      <c r="E23" s="14">
        <f t="shared" si="1"/>
        <v>0</v>
      </c>
      <c r="F23" s="10">
        <f t="shared" si="2"/>
        <v>0</v>
      </c>
    </row>
    <row r="24" spans="2:6" x14ac:dyDescent="0.45">
      <c r="B24" s="20" t="str">
        <f>+'County Data'!$B$39</f>
        <v>Tillamook</v>
      </c>
      <c r="C24" s="15">
        <f>VLOOKUP($B24,'County Data'!$B$10:$P$46,2,FALSE)</f>
        <v>26500</v>
      </c>
      <c r="D24" s="6">
        <f t="shared" si="0"/>
        <v>6.2553111132093286E-3</v>
      </c>
      <c r="E24" s="14">
        <f t="shared" si="1"/>
        <v>0</v>
      </c>
      <c r="F24" s="10">
        <f t="shared" si="2"/>
        <v>0</v>
      </c>
    </row>
    <row r="25" spans="2:6" x14ac:dyDescent="0.45">
      <c r="B25" s="20" t="str">
        <f>+'County Data'!$B$40</f>
        <v>Umatilla</v>
      </c>
      <c r="C25" s="15">
        <f>VLOOKUP($B25,'County Data'!$B$10:$P$46,2,FALSE)</f>
        <v>81160</v>
      </c>
      <c r="D25" s="6">
        <f t="shared" si="0"/>
        <v>1.9157775469738458E-2</v>
      </c>
      <c r="E25" s="14">
        <f t="shared" si="1"/>
        <v>0</v>
      </c>
      <c r="F25" s="10">
        <f t="shared" si="2"/>
        <v>0</v>
      </c>
    </row>
    <row r="26" spans="2:6" x14ac:dyDescent="0.45">
      <c r="B26" s="20" t="str">
        <f>+'County Data'!$B$12</f>
        <v>Clackamas</v>
      </c>
      <c r="C26" s="15">
        <f>VLOOKUP($B26,'County Data'!$B$10:$P$46,2,FALSE)</f>
        <v>423420</v>
      </c>
      <c r="D26" s="6">
        <f t="shared" si="0"/>
        <v>9.9948069115286559E-2</v>
      </c>
      <c r="E26" s="14">
        <f t="shared" si="1"/>
        <v>0</v>
      </c>
      <c r="F26" s="10">
        <f t="shared" si="2"/>
        <v>0</v>
      </c>
    </row>
    <row r="27" spans="2:6" x14ac:dyDescent="0.45">
      <c r="B27" s="20" t="str">
        <f>+'County Data'!$B$41</f>
        <v>Union</v>
      </c>
      <c r="C27" s="15">
        <f>VLOOKUP($B27,'County Data'!$B$10:$P$46,2,FALSE)</f>
        <v>26840</v>
      </c>
      <c r="D27" s="6">
        <f t="shared" si="0"/>
        <v>6.3355679350391844E-3</v>
      </c>
      <c r="E27" s="14">
        <f t="shared" si="1"/>
        <v>0</v>
      </c>
      <c r="F27" s="10">
        <f t="shared" si="2"/>
        <v>0</v>
      </c>
    </row>
    <row r="28" spans="2:6" x14ac:dyDescent="0.45">
      <c r="B28" s="20" t="str">
        <f>+'County Data'!$B$44</f>
        <v>Washington</v>
      </c>
      <c r="C28" s="15">
        <f>VLOOKUP($B28,'County Data'!$B$10:$P$46,2,FALSE)</f>
        <v>613410</v>
      </c>
      <c r="D28" s="6">
        <f t="shared" si="0"/>
        <v>0.1447951090548579</v>
      </c>
      <c r="E28" s="14">
        <f t="shared" si="1"/>
        <v>0</v>
      </c>
      <c r="F28" s="10">
        <f t="shared" si="2"/>
        <v>0</v>
      </c>
    </row>
    <row r="29" spans="2:6" x14ac:dyDescent="0.45">
      <c r="B29" s="20" t="str">
        <f>+'County Data'!$B$46</f>
        <v>Yamhill</v>
      </c>
      <c r="C29" s="15">
        <f>VLOOKUP($B29,'County Data'!$B$10:$P$46,2,FALSE)</f>
        <v>108060</v>
      </c>
      <c r="D29" s="6">
        <f t="shared" si="0"/>
        <v>2.5507506373335851E-2</v>
      </c>
      <c r="E29" s="14">
        <f t="shared" si="1"/>
        <v>0</v>
      </c>
      <c r="F29" s="10">
        <f t="shared" si="2"/>
        <v>0</v>
      </c>
    </row>
    <row r="30" spans="2:6" x14ac:dyDescent="0.45">
      <c r="B30" s="20" t="str">
        <f>+'County Data'!$B$13</f>
        <v>Clatsop</v>
      </c>
      <c r="C30" s="15">
        <f>VLOOKUP($B30,'County Data'!$B$10:$P$46,2,FALSE)</f>
        <v>39330</v>
      </c>
      <c r="D30" s="6">
        <f t="shared" si="0"/>
        <v>9.2838258899065242E-3</v>
      </c>
      <c r="E30" s="14">
        <f t="shared" si="1"/>
        <v>0</v>
      </c>
      <c r="F30" s="10">
        <f t="shared" si="2"/>
        <v>0</v>
      </c>
    </row>
    <row r="31" spans="2:6" x14ac:dyDescent="0.45">
      <c r="B31" s="20" t="str">
        <f>+'County Data'!$B$14</f>
        <v>Columbia</v>
      </c>
      <c r="C31" s="15">
        <f>VLOOKUP($B31,'County Data'!$B$10:$P$46,2,FALSE)</f>
        <v>52750</v>
      </c>
      <c r="D31" s="6">
        <f t="shared" si="0"/>
        <v>1.2451609857426117E-2</v>
      </c>
      <c r="E31" s="14">
        <f t="shared" si="1"/>
        <v>0</v>
      </c>
      <c r="F31" s="10">
        <f t="shared" si="2"/>
        <v>0</v>
      </c>
    </row>
    <row r="32" spans="2:6" x14ac:dyDescent="0.45">
      <c r="B32" s="20" t="str">
        <f>+'County Data'!$B$15</f>
        <v>Coos</v>
      </c>
      <c r="C32" s="15">
        <f>VLOOKUP($B32,'County Data'!$B$10:$P$46,2,FALSE)</f>
        <v>63290</v>
      </c>
      <c r="D32" s="6">
        <f t="shared" si="0"/>
        <v>1.4939571334151637E-2</v>
      </c>
      <c r="E32" s="14">
        <f t="shared" si="1"/>
        <v>0</v>
      </c>
      <c r="F32" s="10">
        <f t="shared" si="2"/>
        <v>0</v>
      </c>
    </row>
    <row r="33" spans="2:6" x14ac:dyDescent="0.45">
      <c r="B33" s="20" t="str">
        <f>+'County Data'!$B$16</f>
        <v>Crook</v>
      </c>
      <c r="C33" s="15">
        <f>VLOOKUP($B33,'County Data'!$B$10:$P$46,2,FALSE)</f>
        <v>23440</v>
      </c>
      <c r="D33" s="6">
        <f t="shared" si="0"/>
        <v>5.5329997167406289E-3</v>
      </c>
      <c r="E33" s="14">
        <f t="shared" si="1"/>
        <v>0</v>
      </c>
      <c r="F33" s="10">
        <f t="shared" si="2"/>
        <v>0</v>
      </c>
    </row>
    <row r="34" spans="2:6" x14ac:dyDescent="0.45">
      <c r="B34" s="20" t="str">
        <f>+'County Data'!$B$17</f>
        <v>Curry</v>
      </c>
      <c r="C34" s="15">
        <f>VLOOKUP($B34,'County Data'!$B$10:$P$46,2,FALSE)</f>
        <v>23000</v>
      </c>
      <c r="D34" s="6">
        <f t="shared" si="0"/>
        <v>5.4291379473137566E-3</v>
      </c>
      <c r="E34" s="14">
        <f t="shared" si="1"/>
        <v>0</v>
      </c>
      <c r="F34" s="10">
        <f t="shared" si="2"/>
        <v>0</v>
      </c>
    </row>
    <row r="35" spans="2:6" x14ac:dyDescent="0.45">
      <c r="B35" s="20" t="str">
        <f>+'County Data'!$B$18</f>
        <v>Deschutes</v>
      </c>
      <c r="C35" s="15">
        <f>VLOOKUP($B35,'County Data'!$B$10:$P$46,2,FALSE)</f>
        <v>193000</v>
      </c>
      <c r="D35" s="6">
        <f t="shared" si="0"/>
        <v>4.5557548862241525E-2</v>
      </c>
      <c r="E35" s="14">
        <f t="shared" si="1"/>
        <v>0</v>
      </c>
      <c r="F35" s="10">
        <f t="shared" si="2"/>
        <v>0</v>
      </c>
    </row>
    <row r="36" spans="2:6" x14ac:dyDescent="0.45">
      <c r="B36" s="20" t="str">
        <f>+'County Data'!$B$21</f>
        <v>Grant</v>
      </c>
      <c r="C36" s="15">
        <f>VLOOKUP($B36,'County Data'!$B$10:$P$46,2,FALSE)</f>
        <v>7360</v>
      </c>
      <c r="D36" s="6">
        <f t="shared" si="0"/>
        <v>1.7373241431404023E-3</v>
      </c>
      <c r="E36" s="14">
        <f t="shared" si="1"/>
        <v>0</v>
      </c>
      <c r="F36" s="10">
        <f t="shared" si="2"/>
        <v>0</v>
      </c>
    </row>
    <row r="37" spans="2:6" x14ac:dyDescent="0.45">
      <c r="B37" s="20" t="str">
        <f>+'County Data'!$B$22</f>
        <v>Harney</v>
      </c>
      <c r="C37" s="15">
        <f>VLOOKUP($B37,'County Data'!$B$10:$P$46,2,FALSE)</f>
        <v>7360</v>
      </c>
      <c r="D37" s="6">
        <f t="shared" si="0"/>
        <v>1.7373241431404023E-3</v>
      </c>
      <c r="E37" s="14">
        <f t="shared" si="1"/>
        <v>0</v>
      </c>
      <c r="F37" s="10">
        <f t="shared" si="2"/>
        <v>0</v>
      </c>
    </row>
    <row r="38" spans="2:6" x14ac:dyDescent="0.45">
      <c r="B38" s="20" t="str">
        <f>+'County Data'!$B$28</f>
        <v>Lake</v>
      </c>
      <c r="C38" s="15">
        <f>VLOOKUP($B38,'County Data'!$B$10:$P$46,2,FALSE)</f>
        <v>8080</v>
      </c>
      <c r="D38" s="6">
        <f t="shared" si="0"/>
        <v>1.9072797658389198E-3</v>
      </c>
      <c r="E38" s="14">
        <f t="shared" si="1"/>
        <v>0</v>
      </c>
      <c r="F38" s="10">
        <f t="shared" si="2"/>
        <v>0</v>
      </c>
    </row>
    <row r="39" spans="2:6" x14ac:dyDescent="0.45">
      <c r="B39" s="20" t="str">
        <f>+'County Data'!$B$42</f>
        <v>Wallowa</v>
      </c>
      <c r="C39" s="15">
        <f>VLOOKUP($B39,'County Data'!$B$10:$P$46,2,FALSE)</f>
        <v>7150</v>
      </c>
      <c r="D39" s="6">
        <f t="shared" si="0"/>
        <v>1.6877537531866679E-3</v>
      </c>
      <c r="E39" s="14">
        <f t="shared" si="1"/>
        <v>0</v>
      </c>
      <c r="F39" s="10">
        <f t="shared" si="2"/>
        <v>0</v>
      </c>
    </row>
    <row r="40" spans="2:6" x14ac:dyDescent="0.45">
      <c r="B40" s="20" t="str">
        <f>'County Data'!$B$45</f>
        <v>Wheeler</v>
      </c>
      <c r="C40" s="15">
        <f>VLOOKUP($B40,'County Data'!$B$10:$P$46,2,FALSE)</f>
        <v>1440</v>
      </c>
      <c r="D40" s="6">
        <f t="shared" si="0"/>
        <v>3.3991124539703524E-4</v>
      </c>
      <c r="E40" s="14">
        <f t="shared" si="1"/>
        <v>0</v>
      </c>
      <c r="F40" s="10">
        <f t="shared" si="2"/>
        <v>0</v>
      </c>
    </row>
    <row r="41" spans="2:6" x14ac:dyDescent="0.45">
      <c r="B41" s="4" t="s">
        <v>2</v>
      </c>
      <c r="C41" s="5">
        <f>SUM(C7:C40)</f>
        <v>4236400</v>
      </c>
      <c r="D41" s="8">
        <f>SUM(D7:D40)</f>
        <v>1.0000000000000002</v>
      </c>
      <c r="E41" s="11">
        <f>SUM(E7:E40)</f>
        <v>0</v>
      </c>
      <c r="F41" s="12">
        <f>E41/C41</f>
        <v>0</v>
      </c>
    </row>
  </sheetData>
  <sortState xmlns:xlrd2="http://schemas.microsoft.com/office/spreadsheetml/2017/richdata2" ref="B7:F40">
    <sortCondition ref="B7"/>
  </sortState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3:K45"/>
  <sheetViews>
    <sheetView workbookViewId="0">
      <selection activeCell="J10" sqref="J10"/>
    </sheetView>
  </sheetViews>
  <sheetFormatPr defaultRowHeight="14.25" x14ac:dyDescent="0.45"/>
  <cols>
    <col min="2" max="2" width="17.3984375" bestFit="1" customWidth="1"/>
    <col min="3" max="3" width="11.86328125" bestFit="1" customWidth="1"/>
    <col min="4" max="4" width="12.1328125" bestFit="1" customWidth="1"/>
    <col min="5" max="5" width="14.1328125" customWidth="1"/>
    <col min="6" max="6" width="10" bestFit="1" customWidth="1"/>
    <col min="7" max="7" width="13.59765625" bestFit="1" customWidth="1"/>
    <col min="8" max="8" width="10.73046875" bestFit="1" customWidth="1"/>
    <col min="10" max="10" width="10.86328125" bestFit="1" customWidth="1"/>
    <col min="11" max="11" width="9.86328125" bestFit="1" customWidth="1"/>
  </cols>
  <sheetData>
    <row r="3" spans="2:11" x14ac:dyDescent="0.45">
      <c r="B3" t="s">
        <v>0</v>
      </c>
      <c r="C3" s="1">
        <f>'County Data'!C5</f>
        <v>17000000</v>
      </c>
    </row>
    <row r="4" spans="2:11" x14ac:dyDescent="0.45">
      <c r="B4" t="s">
        <v>41</v>
      </c>
      <c r="C4" s="14">
        <f>C3*Input!C16</f>
        <v>3136500</v>
      </c>
    </row>
    <row r="6" spans="2:11" s="2" customFormat="1" ht="28.5" x14ac:dyDescent="0.45">
      <c r="B6" s="3" t="s">
        <v>7</v>
      </c>
      <c r="C6" s="3" t="s">
        <v>1</v>
      </c>
      <c r="D6" s="3" t="s">
        <v>90</v>
      </c>
      <c r="E6" s="13" t="s">
        <v>89</v>
      </c>
      <c r="F6" s="3" t="s">
        <v>6</v>
      </c>
    </row>
    <row r="7" spans="2:11" x14ac:dyDescent="0.45">
      <c r="B7" s="20" t="str">
        <f>+'County Data'!$B$10</f>
        <v>Baker</v>
      </c>
      <c r="C7" s="15">
        <f>VLOOKUP($B7,'County Data'!$B$10:$P$46,2,FALSE)</f>
        <v>16820</v>
      </c>
      <c r="D7" s="15" t="str">
        <f>VLOOKUP($B7,'County Data'!$B$10:$P$46,3,FALSE)</f>
        <v>Extra Small</v>
      </c>
      <c r="E7" s="14">
        <f>VLOOKUP(D7,$H$7:$J$11,3,FALSE)</f>
        <v>50000</v>
      </c>
      <c r="F7" s="10">
        <f t="shared" ref="F7:F42" si="0">E7/C7</f>
        <v>2.9726516052318668</v>
      </c>
      <c r="H7" t="s">
        <v>44</v>
      </c>
      <c r="I7" s="7">
        <f>Input!$C$17</f>
        <v>2.975806451612903E-3</v>
      </c>
      <c r="J7" s="198">
        <f>Input!C8</f>
        <v>50000</v>
      </c>
      <c r="K7" s="60"/>
    </row>
    <row r="8" spans="2:11" x14ac:dyDescent="0.45">
      <c r="B8" s="20" t="str">
        <f>+'County Data'!$B$11</f>
        <v>Benton</v>
      </c>
      <c r="C8" s="15">
        <f>VLOOKUP($B8,'County Data'!$B$10:$P$46,2,FALSE)</f>
        <v>94360</v>
      </c>
      <c r="D8" s="15" t="str">
        <f>VLOOKUP($B8,'County Data'!$B$10:$P$46,3,FALSE)</f>
        <v>Medium</v>
      </c>
      <c r="E8" s="14">
        <f t="shared" ref="E8:E42" si="1">VLOOKUP(D8,$H$7:$J$11,3,FALSE)</f>
        <v>100000</v>
      </c>
      <c r="F8" s="10">
        <f t="shared" si="0"/>
        <v>1.0597710894446799</v>
      </c>
      <c r="H8" t="s">
        <v>45</v>
      </c>
      <c r="I8" s="7">
        <f>Input!$C$18</f>
        <v>4.4637096774193547E-3</v>
      </c>
      <c r="J8" s="198">
        <f>Input!C9</f>
        <v>75000</v>
      </c>
      <c r="K8" s="192"/>
    </row>
    <row r="9" spans="2:11" x14ac:dyDescent="0.45">
      <c r="B9" s="20" t="str">
        <f>+'County Data'!$B$12</f>
        <v>Clackamas</v>
      </c>
      <c r="C9" s="15">
        <f>VLOOKUP($B9,'County Data'!$B$10:$P$46,2,FALSE)</f>
        <v>423420</v>
      </c>
      <c r="D9" s="15" t="str">
        <f>VLOOKUP($B9,'County Data'!$B$10:$P$46,3,FALSE)</f>
        <v>Extra Large</v>
      </c>
      <c r="E9" s="14">
        <f t="shared" si="1"/>
        <v>150000</v>
      </c>
      <c r="F9" s="10">
        <f t="shared" si="0"/>
        <v>0.35425818336403569</v>
      </c>
      <c r="H9" t="s">
        <v>46</v>
      </c>
      <c r="I9" s="7">
        <f>Input!$C$19</f>
        <v>5.951612903225806E-3</v>
      </c>
      <c r="J9" s="198">
        <f>Input!C10</f>
        <v>100000</v>
      </c>
      <c r="K9" s="60"/>
    </row>
    <row r="10" spans="2:11" x14ac:dyDescent="0.45">
      <c r="B10" s="20" t="str">
        <f>+'County Data'!$B$13</f>
        <v>Clatsop</v>
      </c>
      <c r="C10" s="15">
        <f>VLOOKUP($B10,'County Data'!$B$10:$P$46,2,FALSE)</f>
        <v>39330</v>
      </c>
      <c r="D10" s="15" t="str">
        <f>VLOOKUP($B10,'County Data'!$B$10:$P$46,3,FALSE)</f>
        <v>Small</v>
      </c>
      <c r="E10" s="14">
        <f t="shared" si="1"/>
        <v>75000</v>
      </c>
      <c r="F10" s="10">
        <f t="shared" si="0"/>
        <v>1.9069412662090008</v>
      </c>
      <c r="H10" t="s">
        <v>47</v>
      </c>
      <c r="I10" s="7">
        <f>Input!$C$20</f>
        <v>7.4395161290322573E-3</v>
      </c>
      <c r="J10" s="198">
        <f>Input!C11</f>
        <v>125000</v>
      </c>
      <c r="K10" s="192"/>
    </row>
    <row r="11" spans="2:11" x14ac:dyDescent="0.45">
      <c r="B11" s="20" t="str">
        <f>+'County Data'!$B$14</f>
        <v>Columbia</v>
      </c>
      <c r="C11" s="15">
        <f>VLOOKUP($B11,'County Data'!$B$10:$P$46,2,FALSE)</f>
        <v>52750</v>
      </c>
      <c r="D11" s="15" t="str">
        <f>VLOOKUP($B11,'County Data'!$B$10:$P$46,3,FALSE)</f>
        <v>Small</v>
      </c>
      <c r="E11" s="14">
        <f t="shared" si="1"/>
        <v>75000</v>
      </c>
      <c r="F11" s="10">
        <f t="shared" si="0"/>
        <v>1.4218009478672986</v>
      </c>
      <c r="H11" t="s">
        <v>48</v>
      </c>
      <c r="I11" s="7">
        <f>Input!$C$21</f>
        <v>8.9274193548387094E-3</v>
      </c>
      <c r="J11" s="198">
        <f>Input!C12</f>
        <v>150000</v>
      </c>
    </row>
    <row r="12" spans="2:11" x14ac:dyDescent="0.45">
      <c r="B12" s="20" t="str">
        <f>+'County Data'!$B$15</f>
        <v>Coos</v>
      </c>
      <c r="C12" s="15">
        <f>VLOOKUP($B12,'County Data'!$B$10:$P$46,2,FALSE)</f>
        <v>63290</v>
      </c>
      <c r="D12" s="15" t="str">
        <f>VLOOKUP($B12,'County Data'!$B$10:$P$46,3,FALSE)</f>
        <v>Small</v>
      </c>
      <c r="E12" s="14">
        <f t="shared" si="1"/>
        <v>75000</v>
      </c>
      <c r="F12" s="10">
        <f t="shared" si="0"/>
        <v>1.185021330383947</v>
      </c>
    </row>
    <row r="13" spans="2:11" x14ac:dyDescent="0.45">
      <c r="B13" s="20" t="str">
        <f>+'County Data'!$B$16</f>
        <v>Crook</v>
      </c>
      <c r="C13" s="15">
        <f>VLOOKUP($B13,'County Data'!$B$10:$P$46,2,FALSE)</f>
        <v>23440</v>
      </c>
      <c r="D13" s="15" t="str">
        <f>VLOOKUP($B13,'County Data'!$B$10:$P$46,3,FALSE)</f>
        <v>Small</v>
      </c>
      <c r="E13" s="14">
        <f t="shared" si="1"/>
        <v>75000</v>
      </c>
      <c r="F13" s="10">
        <f t="shared" si="0"/>
        <v>3.1996587030716723</v>
      </c>
    </row>
    <row r="14" spans="2:11" x14ac:dyDescent="0.45">
      <c r="B14" s="20" t="str">
        <f>+'County Data'!$B$17</f>
        <v>Curry</v>
      </c>
      <c r="C14" s="15">
        <f>VLOOKUP($B14,'County Data'!$B$10:$P$46,2,FALSE)</f>
        <v>23000</v>
      </c>
      <c r="D14" s="15" t="str">
        <f>VLOOKUP($B14,'County Data'!$B$10:$P$46,3,FALSE)</f>
        <v>Small</v>
      </c>
      <c r="E14" s="14">
        <f t="shared" si="1"/>
        <v>75000</v>
      </c>
      <c r="F14" s="10">
        <f t="shared" si="0"/>
        <v>3.2608695652173911</v>
      </c>
    </row>
    <row r="15" spans="2:11" x14ac:dyDescent="0.45">
      <c r="B15" s="20" t="str">
        <f>+'County Data'!$B$18</f>
        <v>Deschutes</v>
      </c>
      <c r="C15" s="15">
        <f>VLOOKUP($B15,'County Data'!$B$10:$P$46,2,FALSE)</f>
        <v>193000</v>
      </c>
      <c r="D15" s="15" t="str">
        <f>VLOOKUP($B15,'County Data'!$B$10:$P$46,3,FALSE)</f>
        <v>Large</v>
      </c>
      <c r="E15" s="14">
        <f t="shared" si="1"/>
        <v>125000</v>
      </c>
      <c r="F15" s="10">
        <f t="shared" si="0"/>
        <v>0.64766839378238339</v>
      </c>
    </row>
    <row r="16" spans="2:11" x14ac:dyDescent="0.45">
      <c r="B16" s="20" t="str">
        <f>+'County Data'!$B$19</f>
        <v>Douglas</v>
      </c>
      <c r="C16" s="15">
        <f>VLOOKUP($B16,'County Data'!$B$10:$P$46,2,FALSE)</f>
        <v>112250</v>
      </c>
      <c r="D16" s="15" t="str">
        <f>VLOOKUP($B16,'County Data'!$B$10:$P$46,3,FALSE)</f>
        <v>Medium</v>
      </c>
      <c r="E16" s="14">
        <f t="shared" si="1"/>
        <v>100000</v>
      </c>
      <c r="F16" s="10">
        <f t="shared" si="0"/>
        <v>0.89086859688195996</v>
      </c>
    </row>
    <row r="17" spans="2:6" x14ac:dyDescent="0.45">
      <c r="B17" s="20" t="str">
        <f>+'County Data'!$B$20</f>
        <v>Gilliam</v>
      </c>
      <c r="C17" s="15">
        <f>VLOOKUP($B17,'County Data'!$B$10:$P$46,2,FALSE)</f>
        <v>1990</v>
      </c>
      <c r="D17" s="15" t="str">
        <f>VLOOKUP($B17,'County Data'!$B$10:$P$46,3,FALSE)</f>
        <v>Extra Small</v>
      </c>
      <c r="E17" s="14">
        <f t="shared" si="1"/>
        <v>50000</v>
      </c>
      <c r="F17" s="10">
        <f t="shared" si="0"/>
        <v>25.125628140703519</v>
      </c>
    </row>
    <row r="18" spans="2:6" x14ac:dyDescent="0.45">
      <c r="B18" s="20" t="str">
        <f>+'County Data'!$B$21</f>
        <v>Grant</v>
      </c>
      <c r="C18" s="15">
        <f>VLOOKUP($B18,'County Data'!$B$10:$P$46,2,FALSE)</f>
        <v>7360</v>
      </c>
      <c r="D18" s="15" t="str">
        <f>VLOOKUP($B18,'County Data'!$B$10:$P$46,3,FALSE)</f>
        <v>Extra Small</v>
      </c>
      <c r="E18" s="14">
        <f t="shared" si="1"/>
        <v>50000</v>
      </c>
      <c r="F18" s="10">
        <f t="shared" si="0"/>
        <v>6.7934782608695654</v>
      </c>
    </row>
    <row r="19" spans="2:6" x14ac:dyDescent="0.45">
      <c r="B19" s="20" t="str">
        <f>+'County Data'!$B$22</f>
        <v>Harney</v>
      </c>
      <c r="C19" s="15">
        <f>VLOOKUP($B19,'County Data'!$B$10:$P$46,2,FALSE)</f>
        <v>7360</v>
      </c>
      <c r="D19" s="15" t="str">
        <f>VLOOKUP($B19,'County Data'!$B$10:$P$46,3,FALSE)</f>
        <v>Extra Small</v>
      </c>
      <c r="E19" s="14">
        <f t="shared" si="1"/>
        <v>50000</v>
      </c>
      <c r="F19" s="10">
        <f t="shared" si="0"/>
        <v>6.7934782608695654</v>
      </c>
    </row>
    <row r="20" spans="2:6" x14ac:dyDescent="0.45">
      <c r="B20" s="20" t="str">
        <f>+'County Data'!$B$23</f>
        <v>Hood River</v>
      </c>
      <c r="C20" s="15">
        <f>VLOOKUP($B20,'County Data'!$B$10:$P$46,2,FALSE)</f>
        <v>25480</v>
      </c>
      <c r="D20" s="15" t="str">
        <f>VLOOKUP($B20,'County Data'!$B$10:$P$46,3,FALSE)</f>
        <v>Small</v>
      </c>
      <c r="E20" s="14">
        <f t="shared" si="1"/>
        <v>75000</v>
      </c>
      <c r="F20" s="10">
        <f t="shared" si="0"/>
        <v>2.9434850863422293</v>
      </c>
    </row>
    <row r="21" spans="2:6" x14ac:dyDescent="0.45">
      <c r="B21" s="20" t="str">
        <f>+'County Data'!$B$24</f>
        <v>Jackson</v>
      </c>
      <c r="C21" s="15">
        <f>VLOOKUP($B21,'County Data'!$B$10:$P$46,2,FALSE)</f>
        <v>221290</v>
      </c>
      <c r="D21" s="15" t="str">
        <f>VLOOKUP($B21,'County Data'!$B$10:$P$46,3,FALSE)</f>
        <v>Large</v>
      </c>
      <c r="E21" s="14">
        <f t="shared" si="1"/>
        <v>125000</v>
      </c>
      <c r="F21" s="10">
        <f t="shared" si="0"/>
        <v>0.56486962808983687</v>
      </c>
    </row>
    <row r="22" spans="2:6" x14ac:dyDescent="0.45">
      <c r="B22" s="20" t="str">
        <f>+'County Data'!$B$25</f>
        <v>Jefferson</v>
      </c>
      <c r="C22" s="15">
        <f>VLOOKUP($B22,'County Data'!$B$10:$P$46,2,FALSE)</f>
        <v>23840</v>
      </c>
      <c r="D22" s="15" t="str">
        <f>VLOOKUP($B22,'County Data'!$B$10:$P$46,3,FALSE)</f>
        <v>Small</v>
      </c>
      <c r="E22" s="14">
        <f t="shared" si="1"/>
        <v>75000</v>
      </c>
      <c r="F22" s="10">
        <f t="shared" si="0"/>
        <v>3.1459731543624163</v>
      </c>
    </row>
    <row r="23" spans="2:6" x14ac:dyDescent="0.45">
      <c r="B23" s="20" t="str">
        <f>+'County Data'!$B$26</f>
        <v>Josephine</v>
      </c>
      <c r="C23" s="15">
        <f>VLOOKUP($B23,'County Data'!$B$10:$P$46,2,FALSE)</f>
        <v>86750</v>
      </c>
      <c r="D23" s="15" t="str">
        <f>VLOOKUP($B23,'County Data'!$B$10:$P$46,3,FALSE)</f>
        <v>Medium</v>
      </c>
      <c r="E23" s="14">
        <f t="shared" si="1"/>
        <v>100000</v>
      </c>
      <c r="F23" s="10">
        <f t="shared" si="0"/>
        <v>1.1527377521613833</v>
      </c>
    </row>
    <row r="24" spans="2:6" x14ac:dyDescent="0.45">
      <c r="B24" s="20" t="str">
        <f>+'County Data'!$B$27</f>
        <v>Klamath</v>
      </c>
      <c r="C24" s="15">
        <f>VLOOKUP($B24,'County Data'!$B$10:$P$46,2,FALSE)</f>
        <v>68190</v>
      </c>
      <c r="D24" s="15" t="str">
        <f>VLOOKUP($B24,'County Data'!$B$10:$P$46,3,FALSE)</f>
        <v>Small</v>
      </c>
      <c r="E24" s="14">
        <f t="shared" si="1"/>
        <v>75000</v>
      </c>
      <c r="F24" s="10">
        <f t="shared" si="0"/>
        <v>1.0998680158380993</v>
      </c>
    </row>
    <row r="25" spans="2:6" x14ac:dyDescent="0.45">
      <c r="B25" s="20" t="str">
        <f>+'County Data'!$B$28</f>
        <v>Lake</v>
      </c>
      <c r="C25" s="15">
        <f>VLOOKUP($B25,'County Data'!$B$10:$P$46,2,FALSE)</f>
        <v>8080</v>
      </c>
      <c r="D25" s="15" t="str">
        <f>VLOOKUP($B25,'County Data'!$B$10:$P$46,3,FALSE)</f>
        <v>Extra Small</v>
      </c>
      <c r="E25" s="14">
        <f t="shared" si="1"/>
        <v>50000</v>
      </c>
      <c r="F25" s="10">
        <f t="shared" si="0"/>
        <v>6.1881188118811883</v>
      </c>
    </row>
    <row r="26" spans="2:6" x14ac:dyDescent="0.45">
      <c r="B26" s="20" t="str">
        <f>+'County Data'!$B$29</f>
        <v>Lane</v>
      </c>
      <c r="C26" s="15">
        <f>VLOOKUP($B26,'County Data'!$B$10:$P$46,2,FALSE)</f>
        <v>378880</v>
      </c>
      <c r="D26" s="15" t="str">
        <f>VLOOKUP($B26,'County Data'!$B$10:$P$46,3,FALSE)</f>
        <v>Extra Large</v>
      </c>
      <c r="E26" s="14">
        <f t="shared" si="1"/>
        <v>150000</v>
      </c>
      <c r="F26" s="10">
        <f t="shared" si="0"/>
        <v>0.39590371621621623</v>
      </c>
    </row>
    <row r="27" spans="2:6" x14ac:dyDescent="0.45">
      <c r="B27" s="20" t="str">
        <f>+'County Data'!$B$30</f>
        <v>Lincoln</v>
      </c>
      <c r="C27" s="15">
        <f>VLOOKUP($B27,'County Data'!$B$10:$P$46,2,FALSE)</f>
        <v>48260</v>
      </c>
      <c r="D27" s="15" t="str">
        <f>VLOOKUP($B27,'County Data'!$B$10:$P$46,3,FALSE)</f>
        <v>Small</v>
      </c>
      <c r="E27" s="14">
        <f>VLOOKUP(D27,$H$7:$J$11,3,FALSE)</f>
        <v>75000</v>
      </c>
      <c r="F27" s="10">
        <f t="shared" si="0"/>
        <v>1.5540820555325321</v>
      </c>
    </row>
    <row r="28" spans="2:6" x14ac:dyDescent="0.45">
      <c r="B28" s="20" t="str">
        <f>+'County Data'!$B$31</f>
        <v>Linn</v>
      </c>
      <c r="C28" s="15">
        <f>VLOOKUP($B28,'County Data'!$B$10:$P$46,2,FALSE)</f>
        <v>126550</v>
      </c>
      <c r="D28" s="15" t="str">
        <f>VLOOKUP($B28,'County Data'!$B$10:$P$46,3,FALSE)</f>
        <v>Medium</v>
      </c>
      <c r="E28" s="14">
        <f t="shared" si="1"/>
        <v>100000</v>
      </c>
      <c r="F28" s="10">
        <f t="shared" si="0"/>
        <v>0.79020150138285261</v>
      </c>
    </row>
    <row r="29" spans="2:6" x14ac:dyDescent="0.45">
      <c r="B29" s="20" t="str">
        <f>+'County Data'!$B$32</f>
        <v>Malheur</v>
      </c>
      <c r="C29" s="15">
        <f>VLOOKUP($B29,'County Data'!$B$10:$P$46,2,FALSE)</f>
        <v>32030</v>
      </c>
      <c r="D29" s="15" t="str">
        <f>VLOOKUP($B29,'County Data'!$B$10:$P$46,3,FALSE)</f>
        <v>Small</v>
      </c>
      <c r="E29" s="14">
        <f t="shared" si="1"/>
        <v>75000</v>
      </c>
      <c r="F29" s="10">
        <f t="shared" si="0"/>
        <v>2.3415547923821416</v>
      </c>
    </row>
    <row r="30" spans="2:6" x14ac:dyDescent="0.45">
      <c r="B30" s="20" t="str">
        <f>+'County Data'!$B$33</f>
        <v>Marion</v>
      </c>
      <c r="C30" s="15">
        <f>VLOOKUP($B30,'County Data'!$B$10:$P$46,2,FALSE)</f>
        <v>347760</v>
      </c>
      <c r="D30" s="15" t="str">
        <f>VLOOKUP($B30,'County Data'!$B$10:$P$46,3,FALSE)</f>
        <v>Large</v>
      </c>
      <c r="E30" s="14">
        <f t="shared" si="1"/>
        <v>125000</v>
      </c>
      <c r="F30" s="10">
        <f t="shared" si="0"/>
        <v>0.35944329422590293</v>
      </c>
    </row>
    <row r="31" spans="2:6" x14ac:dyDescent="0.45">
      <c r="B31" s="20" t="str">
        <f>+'County Data'!$B$34</f>
        <v>Morrow</v>
      </c>
      <c r="C31" s="15">
        <f>VLOOKUP($B31,'County Data'!$B$10:$P$46,2,FALSE)</f>
        <v>12680</v>
      </c>
      <c r="D31" s="15" t="str">
        <f>VLOOKUP($B31,'County Data'!$B$10:$P$46,3,FALSE)</f>
        <v>Extra Small</v>
      </c>
      <c r="E31" s="14">
        <f t="shared" si="1"/>
        <v>50000</v>
      </c>
      <c r="F31" s="10">
        <f t="shared" si="0"/>
        <v>3.9432176656151419</v>
      </c>
    </row>
    <row r="32" spans="2:6" x14ac:dyDescent="0.45">
      <c r="B32" s="20" t="str">
        <f>+'County Data'!$B$35</f>
        <v>Multnomah</v>
      </c>
      <c r="C32" s="15">
        <f>VLOOKUP($B32,'County Data'!$B$10:$P$46,2,FALSE)</f>
        <v>821730</v>
      </c>
      <c r="D32" s="15" t="str">
        <f>VLOOKUP($B32,'County Data'!$B$10:$P$46,3,FALSE)</f>
        <v>Extra Large</v>
      </c>
      <c r="E32" s="14">
        <f t="shared" si="1"/>
        <v>150000</v>
      </c>
      <c r="F32" s="10">
        <f t="shared" si="0"/>
        <v>0.18254171078091344</v>
      </c>
    </row>
    <row r="33" spans="2:6" x14ac:dyDescent="0.45">
      <c r="B33" s="20" t="str">
        <f>+'County Data'!$B$37</f>
        <v>Polk</v>
      </c>
      <c r="C33" s="15">
        <f>VLOOKUP($B33,'County Data'!$B$10:$P$46,2,FALSE)</f>
        <v>82940</v>
      </c>
      <c r="D33" s="15" t="str">
        <f>VLOOKUP($B33,'County Data'!$B$10:$P$46,3,FALSE)</f>
        <v>Medium</v>
      </c>
      <c r="E33" s="14">
        <f t="shared" si="1"/>
        <v>100000</v>
      </c>
      <c r="F33" s="10">
        <f t="shared" si="0"/>
        <v>1.2056908608632746</v>
      </c>
    </row>
    <row r="34" spans="2:6" x14ac:dyDescent="0.45">
      <c r="B34" s="20" t="str">
        <f>+'County Data'!$B$38</f>
        <v>Sherman</v>
      </c>
      <c r="C34" s="15">
        <f>VLOOKUP($B34,'County Data'!$B$10:$P$46,2,FALSE)</f>
        <v>1770</v>
      </c>
      <c r="D34" s="15" t="str">
        <f>VLOOKUP($B34,'County Data'!$B$10:$P$46,3,FALSE)</f>
        <v>Extra Small</v>
      </c>
      <c r="E34" s="14">
        <f t="shared" si="1"/>
        <v>50000</v>
      </c>
      <c r="F34" s="10">
        <f t="shared" si="0"/>
        <v>28.248587570621471</v>
      </c>
    </row>
    <row r="35" spans="2:6" x14ac:dyDescent="0.45">
      <c r="B35" s="20" t="str">
        <f>+'County Data'!$B$39</f>
        <v>Tillamook</v>
      </c>
      <c r="C35" s="15">
        <f>VLOOKUP($B35,'County Data'!$B$10:$P$46,2,FALSE)</f>
        <v>26500</v>
      </c>
      <c r="D35" s="15" t="str">
        <f>VLOOKUP($B35,'County Data'!$B$10:$P$46,3,FALSE)</f>
        <v>Small</v>
      </c>
      <c r="E35" s="14">
        <f t="shared" si="1"/>
        <v>75000</v>
      </c>
      <c r="F35" s="10">
        <f t="shared" si="0"/>
        <v>2.8301886792452828</v>
      </c>
    </row>
    <row r="36" spans="2:6" x14ac:dyDescent="0.45">
      <c r="B36" s="20" t="str">
        <f>+'County Data'!$B$40</f>
        <v>Umatilla</v>
      </c>
      <c r="C36" s="15">
        <f>VLOOKUP($B36,'County Data'!$B$10:$P$46,2,FALSE)</f>
        <v>81160</v>
      </c>
      <c r="D36" s="15" t="str">
        <f>VLOOKUP($B36,'County Data'!$B$10:$P$46,3,FALSE)</f>
        <v>Medium</v>
      </c>
      <c r="E36" s="14">
        <f t="shared" si="1"/>
        <v>100000</v>
      </c>
      <c r="F36" s="10">
        <f t="shared" si="0"/>
        <v>1.2321340561853129</v>
      </c>
    </row>
    <row r="37" spans="2:6" x14ac:dyDescent="0.45">
      <c r="B37" s="20" t="str">
        <f>+'County Data'!$B$41</f>
        <v>Union</v>
      </c>
      <c r="C37" s="15">
        <f>VLOOKUP($B37,'County Data'!$B$10:$P$46,2,FALSE)</f>
        <v>26840</v>
      </c>
      <c r="D37" s="15" t="str">
        <f>VLOOKUP($B37,'County Data'!$B$10:$P$46,3,FALSE)</f>
        <v>Small</v>
      </c>
      <c r="E37" s="14">
        <f t="shared" si="1"/>
        <v>75000</v>
      </c>
      <c r="F37" s="10">
        <f t="shared" si="0"/>
        <v>2.7943368107302535</v>
      </c>
    </row>
    <row r="38" spans="2:6" x14ac:dyDescent="0.45">
      <c r="B38" s="20" t="str">
        <f>+'County Data'!$B$42</f>
        <v>Wallowa</v>
      </c>
      <c r="C38" s="15">
        <f>VLOOKUP($B38,'County Data'!$B$10:$P$46,2,FALSE)</f>
        <v>7150</v>
      </c>
      <c r="D38" s="15" t="str">
        <f>VLOOKUP($B38,'County Data'!$B$10:$P$46,3,FALSE)</f>
        <v>Extra Small</v>
      </c>
      <c r="E38" s="14">
        <f t="shared" si="1"/>
        <v>50000</v>
      </c>
      <c r="F38" s="10">
        <f t="shared" si="0"/>
        <v>6.9930069930069934</v>
      </c>
    </row>
    <row r="39" spans="2:6" x14ac:dyDescent="0.45">
      <c r="B39" s="20" t="str">
        <f>+'County Data'!$B$43</f>
        <v>Wasco</v>
      </c>
      <c r="C39" s="15">
        <f>VLOOKUP($B39,'County Data'!$B$10:$P$46,2,FALSE)</f>
        <v>27240</v>
      </c>
      <c r="D39" s="15" t="str">
        <f>VLOOKUP($B39,'County Data'!$B$10:$P$46,3,FALSE)</f>
        <v>Small</v>
      </c>
      <c r="E39" s="14">
        <f t="shared" si="1"/>
        <v>75000</v>
      </c>
      <c r="F39" s="10">
        <f t="shared" si="0"/>
        <v>2.7533039647577091</v>
      </c>
    </row>
    <row r="40" spans="2:6" x14ac:dyDescent="0.45">
      <c r="B40" s="20" t="str">
        <f>+'County Data'!$B$44</f>
        <v>Washington</v>
      </c>
      <c r="C40" s="15">
        <f>VLOOKUP($B40,'County Data'!$B$10:$P$46,2,FALSE)</f>
        <v>613410</v>
      </c>
      <c r="D40" s="15" t="str">
        <f>VLOOKUP($B40,'County Data'!$B$10:$P$46,3,FALSE)</f>
        <v>Extra Large</v>
      </c>
      <c r="E40" s="14">
        <f t="shared" si="1"/>
        <v>150000</v>
      </c>
      <c r="F40" s="10">
        <f t="shared" si="0"/>
        <v>0.24453465055998436</v>
      </c>
    </row>
    <row r="41" spans="2:6" x14ac:dyDescent="0.45">
      <c r="B41" s="20" t="str">
        <f>'County Data'!$B$45</f>
        <v>Wheeler</v>
      </c>
      <c r="C41" s="15">
        <f>VLOOKUP($B41,'County Data'!$B$10:$P$46,2,FALSE)</f>
        <v>1440</v>
      </c>
      <c r="D41" s="15" t="str">
        <f>VLOOKUP($B41,'County Data'!$B$10:$P$46,3,FALSE)</f>
        <v>Extra Small</v>
      </c>
      <c r="E41" s="14">
        <f t="shared" si="1"/>
        <v>50000</v>
      </c>
      <c r="F41" s="10">
        <f t="shared" si="0"/>
        <v>34.722222222222221</v>
      </c>
    </row>
    <row r="42" spans="2:6" x14ac:dyDescent="0.45">
      <c r="B42" s="20" t="str">
        <f>+'County Data'!$B$46</f>
        <v>Yamhill</v>
      </c>
      <c r="C42" s="15">
        <f>VLOOKUP($B42,'County Data'!$B$10:$P$46,2,FALSE)</f>
        <v>108060</v>
      </c>
      <c r="D42" s="15" t="str">
        <f>VLOOKUP($B42,'County Data'!$B$10:$P$46,3,FALSE)</f>
        <v>Medium</v>
      </c>
      <c r="E42" s="14">
        <f t="shared" si="1"/>
        <v>100000</v>
      </c>
      <c r="F42" s="10">
        <f t="shared" si="0"/>
        <v>0.92541180825467328</v>
      </c>
    </row>
    <row r="43" spans="2:6" x14ac:dyDescent="0.45">
      <c r="B43" s="4" t="s">
        <v>2</v>
      </c>
      <c r="C43" s="5">
        <f>SUM(C7:C42)</f>
        <v>4236400</v>
      </c>
      <c r="D43" s="8">
        <f>SUM(D7:D42)</f>
        <v>0</v>
      </c>
      <c r="E43" s="11">
        <f>SUM(E7:E42)</f>
        <v>3100000</v>
      </c>
      <c r="F43" s="12">
        <f>E43/C43</f>
        <v>0.73175337550750641</v>
      </c>
    </row>
    <row r="44" spans="2:6" x14ac:dyDescent="0.45">
      <c r="E44" s="22">
        <f>E43-C4</f>
        <v>-36500</v>
      </c>
    </row>
    <row r="45" spans="2:6" x14ac:dyDescent="0.45">
      <c r="B45" s="58" t="s">
        <v>85</v>
      </c>
      <c r="C45" s="59">
        <f>SUM(C17,C34,C39)</f>
        <v>31000</v>
      </c>
      <c r="D45" s="58"/>
      <c r="E45" s="59">
        <f>SUM(E17,E34,E39)</f>
        <v>175000</v>
      </c>
      <c r="F45" s="58">
        <f>E45/C45</f>
        <v>5.645161290322581</v>
      </c>
    </row>
  </sheetData>
  <sortState xmlns:xlrd2="http://schemas.microsoft.com/office/spreadsheetml/2017/richdata2" ref="B7:F42">
    <sortCondition ref="B7"/>
  </sortState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autoPageBreaks="0"/>
  </sheetPr>
  <dimension ref="B3:K41"/>
  <sheetViews>
    <sheetView zoomScaleNormal="100" workbookViewId="0">
      <selection activeCell="C4" sqref="C4"/>
    </sheetView>
  </sheetViews>
  <sheetFormatPr defaultRowHeight="14.25" x14ac:dyDescent="0.45"/>
  <cols>
    <col min="1" max="1" width="9.1328125" customWidth="1"/>
    <col min="2" max="2" width="17.3984375" bestFit="1" customWidth="1"/>
    <col min="3" max="3" width="11.86328125" bestFit="1" customWidth="1"/>
    <col min="4" max="5" width="10.59765625" bestFit="1" customWidth="1"/>
    <col min="6" max="6" width="9.73046875" bestFit="1" customWidth="1"/>
    <col min="7" max="7" width="14.1328125" customWidth="1"/>
    <col min="8" max="8" width="10" bestFit="1" customWidth="1"/>
    <col min="11" max="11" width="10.59765625" bestFit="1" customWidth="1"/>
  </cols>
  <sheetData>
    <row r="3" spans="2:11" x14ac:dyDescent="0.45">
      <c r="B3" t="s">
        <v>0</v>
      </c>
      <c r="C3" s="1">
        <f>'County Data'!C5</f>
        <v>17000000</v>
      </c>
    </row>
    <row r="4" spans="2:11" x14ac:dyDescent="0.45">
      <c r="B4" t="s">
        <v>41</v>
      </c>
      <c r="C4" s="14">
        <f>'County Data'!E9</f>
        <v>2316666.6666666665</v>
      </c>
      <c r="D4" s="9"/>
    </row>
    <row r="5" spans="2:11" x14ac:dyDescent="0.45">
      <c r="B5" s="26"/>
      <c r="C5" s="26"/>
      <c r="D5" s="26"/>
      <c r="E5" s="26"/>
      <c r="F5" s="26"/>
      <c r="G5" s="26"/>
      <c r="H5" s="26"/>
    </row>
    <row r="6" spans="2:11" s="2" customFormat="1" ht="28.5" x14ac:dyDescent="0.45">
      <c r="B6" s="3" t="s">
        <v>7</v>
      </c>
      <c r="C6" s="3" t="s">
        <v>1</v>
      </c>
      <c r="D6" s="3" t="s">
        <v>14</v>
      </c>
      <c r="E6" s="3" t="s">
        <v>33</v>
      </c>
      <c r="F6" s="3" t="s">
        <v>34</v>
      </c>
      <c r="G6" s="13" t="s">
        <v>13</v>
      </c>
      <c r="H6" s="3" t="s">
        <v>6</v>
      </c>
    </row>
    <row r="7" spans="2:11" x14ac:dyDescent="0.45">
      <c r="B7" s="20" t="str">
        <f>'County Data'!$B$11</f>
        <v>Benton</v>
      </c>
      <c r="C7" s="15">
        <f>VLOOKUP($B7,'County Data'!$B$10:$L$46,2,FALSE)</f>
        <v>94360</v>
      </c>
      <c r="D7" s="34">
        <f>VLOOKUP(B7,'County Data'!$B$10:$L$46,4,FALSE)</f>
        <v>4.0668929999999999E-2</v>
      </c>
      <c r="E7" s="31">
        <f t="shared" ref="E7:E40" si="0">C7*D7</f>
        <v>3837.5202347999998</v>
      </c>
      <c r="F7" s="6">
        <f>E7/$E$41</f>
        <v>1.403308537740634E-2</v>
      </c>
      <c r="G7" s="14">
        <f>$C$4*F7</f>
        <v>32509.981124324684</v>
      </c>
      <c r="H7" s="10">
        <f t="shared" ref="H7:H40" si="1">G7/C7</f>
        <v>0.34453138113951554</v>
      </c>
      <c r="I7" s="22"/>
      <c r="K7" s="32"/>
    </row>
    <row r="8" spans="2:11" x14ac:dyDescent="0.45">
      <c r="B8" s="20" t="str">
        <f>'County Data'!$B$44</f>
        <v>Washington</v>
      </c>
      <c r="C8" s="15">
        <f>VLOOKUP($B8,'County Data'!$B$10:$L$46,2,FALSE)</f>
        <v>613410</v>
      </c>
      <c r="D8" s="34">
        <f>VLOOKUP(B8,'County Data'!$B$10:$L$46,4,FALSE)</f>
        <v>4.2650979999999998E-2</v>
      </c>
      <c r="E8" s="31">
        <f t="shared" si="0"/>
        <v>26162.537641799998</v>
      </c>
      <c r="F8" s="6">
        <f t="shared" ref="F8:F40" si="2">E8/$E$41</f>
        <v>9.5671449778328213E-2</v>
      </c>
      <c r="G8" s="14">
        <f t="shared" ref="G8:G40" si="3">$C$4*F8</f>
        <v>221638.85865312701</v>
      </c>
      <c r="H8" s="10">
        <f t="shared" si="1"/>
        <v>0.36132253900837452</v>
      </c>
      <c r="I8" s="22"/>
    </row>
    <row r="9" spans="2:11" x14ac:dyDescent="0.45">
      <c r="B9" s="20" t="str">
        <f>'County Data'!$B$23</f>
        <v>Hood River</v>
      </c>
      <c r="C9" s="15">
        <f>VLOOKUP($B9,'County Data'!$B$10:$L$46,2,FALSE)</f>
        <v>25480</v>
      </c>
      <c r="D9" s="34">
        <f>VLOOKUP(B9,'County Data'!$B$10:$L$46,4,FALSE)</f>
        <v>4.750973E-2</v>
      </c>
      <c r="E9" s="31">
        <f t="shared" si="0"/>
        <v>1210.5479204000001</v>
      </c>
      <c r="F9" s="6">
        <f t="shared" si="2"/>
        <v>4.4267446895430492E-3</v>
      </c>
      <c r="G9" s="14">
        <f t="shared" si="3"/>
        <v>10255.291864108063</v>
      </c>
      <c r="H9" s="10">
        <f t="shared" si="1"/>
        <v>0.4024839821078518</v>
      </c>
      <c r="I9" s="22"/>
    </row>
    <row r="10" spans="2:11" x14ac:dyDescent="0.45">
      <c r="B10" s="20" t="str">
        <f>'County Data'!$B$12</f>
        <v>Clackamas</v>
      </c>
      <c r="C10" s="15">
        <f>VLOOKUP($B10,'County Data'!$B$10:$L$46,2,FALSE)</f>
        <v>423420</v>
      </c>
      <c r="D10" s="34">
        <f>VLOOKUP(B10,'County Data'!$B$10:$L$46,4,FALSE)</f>
        <v>5.6630379999999994E-2</v>
      </c>
      <c r="E10" s="31">
        <f t="shared" si="0"/>
        <v>23978.435499599997</v>
      </c>
      <c r="F10" s="6">
        <f t="shared" si="2"/>
        <v>8.7684601511959115E-2</v>
      </c>
      <c r="G10" s="14">
        <f t="shared" si="3"/>
        <v>203135.99350270527</v>
      </c>
      <c r="H10" s="10">
        <f t="shared" si="1"/>
        <v>0.47975058689411287</v>
      </c>
      <c r="I10" s="22"/>
    </row>
    <row r="11" spans="2:11" x14ac:dyDescent="0.45">
      <c r="B11" s="20" t="str">
        <f>'County Data'!$B$37</f>
        <v>Polk</v>
      </c>
      <c r="C11" s="15">
        <f>VLOOKUP($B11,'County Data'!$B$10:$L$46,2,FALSE)</f>
        <v>82940</v>
      </c>
      <c r="D11" s="34">
        <f>VLOOKUP(B11,'County Data'!$B$10:$L$46,4,FALSE)</f>
        <v>6.0078370000000006E-2</v>
      </c>
      <c r="E11" s="31">
        <f t="shared" si="0"/>
        <v>4982.9000078000008</v>
      </c>
      <c r="F11" s="6">
        <f t="shared" si="2"/>
        <v>1.8221522482781236E-2</v>
      </c>
      <c r="G11" s="14">
        <f t="shared" si="3"/>
        <v>42213.193751776525</v>
      </c>
      <c r="H11" s="10">
        <f t="shared" si="1"/>
        <v>0.50896061914367641</v>
      </c>
      <c r="I11" s="22"/>
    </row>
    <row r="12" spans="2:11" x14ac:dyDescent="0.45">
      <c r="B12" s="20" t="str">
        <f>'County Data'!$B$18</f>
        <v>Deschutes</v>
      </c>
      <c r="C12" s="15">
        <f>VLOOKUP($B12,'County Data'!$B$10:$L$46,2,FALSE)</f>
        <v>193000</v>
      </c>
      <c r="D12" s="34">
        <f>VLOOKUP(B12,'County Data'!$B$10:$L$46,4,FALSE)</f>
        <v>5.375133E-2</v>
      </c>
      <c r="E12" s="31">
        <f t="shared" si="0"/>
        <v>10374.00669</v>
      </c>
      <c r="F12" s="6">
        <f t="shared" si="2"/>
        <v>3.793577953449976E-2</v>
      </c>
      <c r="G12" s="14">
        <f t="shared" si="3"/>
        <v>87884.555921591105</v>
      </c>
      <c r="H12" s="10">
        <f t="shared" si="1"/>
        <v>0.45536039337611972</v>
      </c>
      <c r="I12" s="22"/>
    </row>
    <row r="13" spans="2:11" x14ac:dyDescent="0.45">
      <c r="B13" s="20" t="str">
        <f>'County Data'!$B$46</f>
        <v>Yamhill</v>
      </c>
      <c r="C13" s="15">
        <f>VLOOKUP($B13,'County Data'!$B$10:$L$46,2,FALSE)</f>
        <v>108060</v>
      </c>
      <c r="D13" s="34">
        <f>VLOOKUP(B13,'County Data'!$B$10:$L$46,4,FALSE)</f>
        <v>6.2846349999999995E-2</v>
      </c>
      <c r="E13" s="31">
        <f t="shared" si="0"/>
        <v>6791.1765809999997</v>
      </c>
      <c r="F13" s="6">
        <f t="shared" si="2"/>
        <v>2.4834047755628912E-2</v>
      </c>
      <c r="G13" s="14">
        <f t="shared" si="3"/>
        <v>57532.210633873641</v>
      </c>
      <c r="H13" s="10">
        <f t="shared" si="1"/>
        <v>0.53240987075581747</v>
      </c>
      <c r="I13" s="22"/>
    </row>
    <row r="14" spans="2:11" x14ac:dyDescent="0.45">
      <c r="B14" s="20" t="str">
        <f>'County Data'!$B$21</f>
        <v>Grant</v>
      </c>
      <c r="C14" s="15">
        <f>VLOOKUP($B14,'County Data'!$B$10:$L$46,2,FALSE)</f>
        <v>7360</v>
      </c>
      <c r="D14" s="34">
        <f>VLOOKUP(B14,'County Data'!$B$10:$L$46,4,FALSE)</f>
        <v>7.9334200000000007E-2</v>
      </c>
      <c r="E14" s="31">
        <f t="shared" si="0"/>
        <v>583.89971200000002</v>
      </c>
      <c r="F14" s="6">
        <f t="shared" si="2"/>
        <v>2.1352107634596005E-3</v>
      </c>
      <c r="G14" s="14">
        <f t="shared" si="3"/>
        <v>4946.5716020147411</v>
      </c>
      <c r="H14" s="10">
        <f t="shared" si="1"/>
        <v>0.67208853288243764</v>
      </c>
      <c r="I14" s="22"/>
    </row>
    <row r="15" spans="2:11" x14ac:dyDescent="0.45">
      <c r="B15" s="20" t="str">
        <f>'County Data'!$B$34</f>
        <v>Morrow</v>
      </c>
      <c r="C15" s="15">
        <f>VLOOKUP($B15,'County Data'!$B$10:$L$46,2,FALSE)</f>
        <v>12680</v>
      </c>
      <c r="D15" s="34">
        <f>VLOOKUP(B15,'County Data'!$B$10:$L$46,4,FALSE)</f>
        <v>6.6599549999999993E-2</v>
      </c>
      <c r="E15" s="31">
        <f t="shared" si="0"/>
        <v>844.48229399999991</v>
      </c>
      <c r="F15" s="6">
        <f t="shared" si="2"/>
        <v>3.0881119593699244E-3</v>
      </c>
      <c r="G15" s="14">
        <f t="shared" si="3"/>
        <v>7154.1260392069908</v>
      </c>
      <c r="H15" s="10">
        <f t="shared" si="1"/>
        <v>0.56420552359676579</v>
      </c>
      <c r="I15" s="22"/>
    </row>
    <row r="16" spans="2:11" x14ac:dyDescent="0.45">
      <c r="B16" s="20" t="str">
        <f>'County Data'!$B$45</f>
        <v>Wheeler</v>
      </c>
      <c r="C16" s="15">
        <f>VLOOKUP($B16,'County Data'!$B$10:$L$46,2,FALSE)</f>
        <v>1440</v>
      </c>
      <c r="D16" s="34">
        <f>VLOOKUP(B16,'County Data'!$B$10:$L$46,4,FALSE)</f>
        <v>6.5306119999999995E-2</v>
      </c>
      <c r="E16" s="31">
        <f t="shared" si="0"/>
        <v>94.040812799999998</v>
      </c>
      <c r="F16" s="6">
        <f t="shared" si="2"/>
        <v>3.4388945835796091E-4</v>
      </c>
      <c r="G16" s="14">
        <f t="shared" si="3"/>
        <v>796.67724519594276</v>
      </c>
      <c r="H16" s="10">
        <f t="shared" si="1"/>
        <v>0.55324808694162697</v>
      </c>
      <c r="I16" s="22"/>
    </row>
    <row r="17" spans="2:9" x14ac:dyDescent="0.45">
      <c r="B17" s="20" t="str">
        <f>'County Data'!$B$33</f>
        <v>Marion</v>
      </c>
      <c r="C17" s="15">
        <f>VLOOKUP($B17,'County Data'!$B$10:$L$46,2,FALSE)</f>
        <v>347760</v>
      </c>
      <c r="D17" s="34">
        <f>VLOOKUP(B17,'County Data'!$B$10:$L$46,4,FALSE)</f>
        <v>6.3607510000000006E-2</v>
      </c>
      <c r="E17" s="31">
        <f t="shared" si="0"/>
        <v>22120.147677600002</v>
      </c>
      <c r="F17" s="6">
        <f t="shared" si="2"/>
        <v>8.088919456519171E-2</v>
      </c>
      <c r="G17" s="14">
        <f t="shared" si="3"/>
        <v>187393.30074269412</v>
      </c>
      <c r="H17" s="10">
        <f t="shared" si="1"/>
        <v>0.53885812267855449</v>
      </c>
      <c r="I17" s="22"/>
    </row>
    <row r="18" spans="2:9" x14ac:dyDescent="0.45">
      <c r="B18" s="20" t="str">
        <f>'County Data'!$B$35</f>
        <v>Multnomah</v>
      </c>
      <c r="C18" s="15">
        <f>VLOOKUP($B18,'County Data'!$B$10:$L$46,2,FALSE)</f>
        <v>821730</v>
      </c>
      <c r="D18" s="34">
        <f>VLOOKUP(B18,'County Data'!$B$10:$L$46,4,FALSE)</f>
        <v>6.2221129999999999E-2</v>
      </c>
      <c r="E18" s="31">
        <f t="shared" si="0"/>
        <v>51128.969154899998</v>
      </c>
      <c r="F18" s="6">
        <f t="shared" si="2"/>
        <v>0.18696896576673835</v>
      </c>
      <c r="G18" s="14">
        <f t="shared" si="3"/>
        <v>433144.77069294383</v>
      </c>
      <c r="H18" s="10">
        <f t="shared" si="1"/>
        <v>0.52711324972064277</v>
      </c>
      <c r="I18" s="22"/>
    </row>
    <row r="19" spans="2:9" x14ac:dyDescent="0.45">
      <c r="B19" s="20" t="str">
        <f>'County Data'!$B$29</f>
        <v>Lane</v>
      </c>
      <c r="C19" s="15">
        <f>VLOOKUP($B19,'County Data'!$B$10:$L$46,2,FALSE)</f>
        <v>378880</v>
      </c>
      <c r="D19" s="34">
        <f>VLOOKUP(B19,'County Data'!$B$10:$L$46,4,FALSE)</f>
        <v>6.8141679999999996E-2</v>
      </c>
      <c r="E19" s="31">
        <f t="shared" si="0"/>
        <v>25817.519718399999</v>
      </c>
      <c r="F19" s="6">
        <f t="shared" si="2"/>
        <v>9.4409784515458284E-2</v>
      </c>
      <c r="G19" s="14">
        <f t="shared" si="3"/>
        <v>218716.00079414502</v>
      </c>
      <c r="H19" s="10">
        <f t="shared" si="1"/>
        <v>0.57726985006900611</v>
      </c>
      <c r="I19" s="22"/>
    </row>
    <row r="20" spans="2:9" x14ac:dyDescent="0.45">
      <c r="B20" s="20" t="str">
        <f>'County Data'!$B$41</f>
        <v>Union</v>
      </c>
      <c r="C20" s="15">
        <f>VLOOKUP($B20,'County Data'!$B$10:$L$46,2,FALSE)</f>
        <v>26840</v>
      </c>
      <c r="D20" s="34">
        <f>VLOOKUP(B20,'County Data'!$B$10:$L$46,4,FALSE)</f>
        <v>7.7874589999999994E-2</v>
      </c>
      <c r="E20" s="31">
        <f t="shared" si="0"/>
        <v>2090.1539955999997</v>
      </c>
      <c r="F20" s="6">
        <f t="shared" si="2"/>
        <v>7.6432976707705748E-3</v>
      </c>
      <c r="G20" s="14">
        <f t="shared" si="3"/>
        <v>17706.972937285165</v>
      </c>
      <c r="H20" s="10">
        <f t="shared" si="1"/>
        <v>0.65972328380347112</v>
      </c>
      <c r="I20" s="22"/>
    </row>
    <row r="21" spans="2:9" x14ac:dyDescent="0.45">
      <c r="B21" s="20" t="str">
        <f>'County Data'!$B$32</f>
        <v>Malheur</v>
      </c>
      <c r="C21" s="15">
        <f>VLOOKUP($B21,'County Data'!$B$10:$L$46,2,FALSE)</f>
        <v>32030</v>
      </c>
      <c r="D21" s="34">
        <f>VLOOKUP(B21,'County Data'!$B$10:$L$46,4,FALSE)</f>
        <v>7.7298069999999997E-2</v>
      </c>
      <c r="E21" s="31">
        <f t="shared" si="0"/>
        <v>2475.8571821</v>
      </c>
      <c r="F21" s="6">
        <f t="shared" si="2"/>
        <v>9.053741242483565E-3</v>
      </c>
      <c r="G21" s="14">
        <f t="shared" si="3"/>
        <v>20974.500545086925</v>
      </c>
      <c r="H21" s="10">
        <f t="shared" si="1"/>
        <v>0.65483923025560176</v>
      </c>
      <c r="I21" s="22"/>
    </row>
    <row r="22" spans="2:9" x14ac:dyDescent="0.45">
      <c r="B22" s="20" t="str">
        <f>'County Data'!$B$31</f>
        <v>Linn</v>
      </c>
      <c r="C22" s="15">
        <f>VLOOKUP($B22,'County Data'!$B$10:$L$46,2,FALSE)</f>
        <v>126550</v>
      </c>
      <c r="D22" s="34">
        <f>VLOOKUP(B22,'County Data'!$B$10:$L$46,4,FALSE)</f>
        <v>7.4680110000000008E-2</v>
      </c>
      <c r="E22" s="31">
        <f t="shared" si="0"/>
        <v>9450.7679205000004</v>
      </c>
      <c r="F22" s="6">
        <f t="shared" si="2"/>
        <v>3.4559670046232713E-2</v>
      </c>
      <c r="G22" s="14">
        <f t="shared" si="3"/>
        <v>80063.235607105773</v>
      </c>
      <c r="H22" s="10">
        <f t="shared" si="1"/>
        <v>0.63266088982304047</v>
      </c>
      <c r="I22" s="22"/>
    </row>
    <row r="23" spans="2:9" x14ac:dyDescent="0.45">
      <c r="B23" s="20" t="str">
        <f>'County Data'!$B$40</f>
        <v>Umatilla</v>
      </c>
      <c r="C23" s="15">
        <f>VLOOKUP($B23,'County Data'!$B$10:$L$46,2,FALSE)</f>
        <v>81160</v>
      </c>
      <c r="D23" s="34">
        <f>VLOOKUP(B23,'County Data'!$B$10:$L$46,4,FALSE)</f>
        <v>7.0862040000000001E-2</v>
      </c>
      <c r="E23" s="31">
        <f t="shared" si="0"/>
        <v>5751.1631663999997</v>
      </c>
      <c r="F23" s="6">
        <f t="shared" si="2"/>
        <v>2.1030915485893708E-2</v>
      </c>
      <c r="G23" s="14">
        <f t="shared" si="3"/>
        <v>48721.620875653753</v>
      </c>
      <c r="H23" s="10">
        <f t="shared" si="1"/>
        <v>0.60031568353442277</v>
      </c>
      <c r="I23" s="22"/>
    </row>
    <row r="24" spans="2:9" x14ac:dyDescent="0.45">
      <c r="B24" s="20" t="str">
        <f>'County Data'!$B$24</f>
        <v>Jackson</v>
      </c>
      <c r="C24" s="15">
        <f>VLOOKUP($B24,'County Data'!$B$10:$L$46,2,FALSE)</f>
        <v>221290</v>
      </c>
      <c r="D24" s="34">
        <f>VLOOKUP(B24,'County Data'!$B$10:$L$46,4,FALSE)</f>
        <v>7.6263950000000011E-2</v>
      </c>
      <c r="E24" s="31">
        <f t="shared" si="0"/>
        <v>16876.449495500001</v>
      </c>
      <c r="F24" s="6">
        <f t="shared" si="2"/>
        <v>6.1713982506252624E-2</v>
      </c>
      <c r="G24" s="14">
        <f t="shared" si="3"/>
        <v>142970.72613948522</v>
      </c>
      <c r="H24" s="10">
        <f t="shared" si="1"/>
        <v>0.64607856721715951</v>
      </c>
      <c r="I24" s="22"/>
    </row>
    <row r="25" spans="2:9" x14ac:dyDescent="0.45">
      <c r="B25" s="20" t="str">
        <f>'County Data'!$B$16</f>
        <v>Crook</v>
      </c>
      <c r="C25" s="15">
        <f>VLOOKUP($B25,'County Data'!$B$10:$L$46,2,FALSE)</f>
        <v>23440</v>
      </c>
      <c r="D25" s="34">
        <f>VLOOKUP(B25,'County Data'!$B$10:$L$46,4,FALSE)</f>
        <v>8.3662790000000001E-2</v>
      </c>
      <c r="E25" s="31">
        <f t="shared" si="0"/>
        <v>1961.0557976</v>
      </c>
      <c r="F25" s="6">
        <f t="shared" si="2"/>
        <v>7.171209988163809E-3</v>
      </c>
      <c r="G25" s="14">
        <f t="shared" si="3"/>
        <v>16613.303139246156</v>
      </c>
      <c r="H25" s="10">
        <f t="shared" si="1"/>
        <v>0.70875866635009199</v>
      </c>
      <c r="I25" s="22"/>
    </row>
    <row r="26" spans="2:9" x14ac:dyDescent="0.45">
      <c r="B26" s="20" t="str">
        <f>'County Data'!$B$14</f>
        <v>Columbia</v>
      </c>
      <c r="C26" s="15">
        <f>VLOOKUP($B26,'County Data'!$B$10:$L$46,2,FALSE)</f>
        <v>52750</v>
      </c>
      <c r="D26" s="34">
        <f>VLOOKUP(B26,'County Data'!$B$10:$L$46,4,FALSE)</f>
        <v>7.1908329999999993E-2</v>
      </c>
      <c r="E26" s="31">
        <f t="shared" si="0"/>
        <v>3793.1644074999995</v>
      </c>
      <c r="F26" s="6">
        <f t="shared" si="2"/>
        <v>1.3870884509814344E-2</v>
      </c>
      <c r="G26" s="14">
        <f t="shared" si="3"/>
        <v>32134.215781069895</v>
      </c>
      <c r="H26" s="10">
        <f t="shared" si="1"/>
        <v>0.6091794460866331</v>
      </c>
      <c r="I26" s="22"/>
    </row>
    <row r="27" spans="2:9" x14ac:dyDescent="0.45">
      <c r="B27" s="20" t="str">
        <f>'County Data'!$B$42</f>
        <v>Wallowa</v>
      </c>
      <c r="C27" s="15">
        <f>VLOOKUP($B27,'County Data'!$B$10:$L$46,2,FALSE)</f>
        <v>7150</v>
      </c>
      <c r="D27" s="34">
        <f>VLOOKUP(B27,'County Data'!$B$10:$L$46,4,FALSE)</f>
        <v>6.8052559999999998E-2</v>
      </c>
      <c r="E27" s="31">
        <f t="shared" si="0"/>
        <v>486.57580400000001</v>
      </c>
      <c r="F27" s="6">
        <f t="shared" si="2"/>
        <v>1.7793156471702608E-3</v>
      </c>
      <c r="G27" s="14">
        <f t="shared" si="3"/>
        <v>4122.0812492777704</v>
      </c>
      <c r="H27" s="10">
        <f t="shared" si="1"/>
        <v>0.576514860038849</v>
      </c>
      <c r="I27" s="22"/>
    </row>
    <row r="28" spans="2:9" x14ac:dyDescent="0.45">
      <c r="B28" s="20" t="str">
        <f>'County Data'!$B$39</f>
        <v>Tillamook</v>
      </c>
      <c r="C28" s="15">
        <f>VLOOKUP($B28,'County Data'!$B$10:$L$46,2,FALSE)</f>
        <v>26500</v>
      </c>
      <c r="D28" s="34">
        <f>VLOOKUP(B28,'County Data'!$B$10:$L$46,4,FALSE)</f>
        <v>8.2220169999999995E-2</v>
      </c>
      <c r="E28" s="31">
        <f t="shared" si="0"/>
        <v>2178.8345049999998</v>
      </c>
      <c r="F28" s="6">
        <f t="shared" si="2"/>
        <v>7.9675855138513409E-3</v>
      </c>
      <c r="G28" s="14">
        <f t="shared" si="3"/>
        <v>18458.239773755606</v>
      </c>
      <c r="H28" s="10">
        <f t="shared" si="1"/>
        <v>0.69653734995304173</v>
      </c>
      <c r="I28" s="22"/>
    </row>
    <row r="29" spans="2:9" x14ac:dyDescent="0.45">
      <c r="B29" s="20" t="str">
        <f>'County Data'!$B$28</f>
        <v>Lake</v>
      </c>
      <c r="C29" s="15">
        <f>VLOOKUP($B29,'County Data'!$B$10:$L$46,2,FALSE)</f>
        <v>8080</v>
      </c>
      <c r="D29" s="34">
        <f>VLOOKUP(B29,'County Data'!$B$10:$L$46,4,FALSE)</f>
        <v>9.3079839999999997E-2</v>
      </c>
      <c r="E29" s="31">
        <f t="shared" si="0"/>
        <v>752.08510719999992</v>
      </c>
      <c r="F29" s="6">
        <f t="shared" si="2"/>
        <v>2.7502329302931858E-3</v>
      </c>
      <c r="G29" s="14">
        <f t="shared" si="3"/>
        <v>6371.372955179213</v>
      </c>
      <c r="H29" s="10">
        <f t="shared" si="1"/>
        <v>0.78853625682911055</v>
      </c>
      <c r="I29" s="22"/>
    </row>
    <row r="30" spans="2:9" x14ac:dyDescent="0.45">
      <c r="B30" s="20" t="str">
        <f>'County Data'!$B$36</f>
        <v>Gilliam, Sherman, Wasco</v>
      </c>
      <c r="C30" s="15">
        <f>VLOOKUP($B30,'County Data'!$B$10:$L$46,2,FALSE)</f>
        <v>31000</v>
      </c>
      <c r="D30" s="34">
        <f>VLOOKUP(B30,'County Data'!$B$10:$L$46,4,FALSE)</f>
        <v>8.1669599999999995E-2</v>
      </c>
      <c r="E30" s="31">
        <f t="shared" si="0"/>
        <v>2531.7575999999999</v>
      </c>
      <c r="F30" s="6">
        <f t="shared" si="2"/>
        <v>9.2581584934754088E-3</v>
      </c>
      <c r="G30" s="14">
        <f t="shared" si="3"/>
        <v>21448.067176551362</v>
      </c>
      <c r="H30" s="10">
        <f t="shared" si="1"/>
        <v>0.69187313472746326</v>
      </c>
      <c r="I30" s="22"/>
    </row>
    <row r="31" spans="2:9" x14ac:dyDescent="0.45">
      <c r="B31" s="20" t="str">
        <f>'County Data'!$B$10</f>
        <v>Baker</v>
      </c>
      <c r="C31" s="15">
        <f>VLOOKUP($B31,'County Data'!$B$10:$L$46,2,FALSE)</f>
        <v>16820</v>
      </c>
      <c r="D31" s="34">
        <f>VLOOKUP(B31,'County Data'!$B$10:$L$46,4,FALSE)</f>
        <v>8.6297479999999996E-2</v>
      </c>
      <c r="E31" s="31">
        <f t="shared" si="0"/>
        <v>1451.5236135999999</v>
      </c>
      <c r="F31" s="6">
        <f t="shared" si="2"/>
        <v>5.3079472030540982E-3</v>
      </c>
      <c r="G31" s="14">
        <f t="shared" si="3"/>
        <v>12296.744353741993</v>
      </c>
      <c r="H31" s="10">
        <f t="shared" si="1"/>
        <v>0.73107873684554059</v>
      </c>
      <c r="I31" s="22"/>
    </row>
    <row r="32" spans="2:9" x14ac:dyDescent="0.45">
      <c r="B32" s="20" t="str">
        <f>'County Data'!$B$13</f>
        <v>Clatsop</v>
      </c>
      <c r="C32" s="15">
        <f>VLOOKUP($B32,'County Data'!$B$10:$L$46,2,FALSE)</f>
        <v>39330</v>
      </c>
      <c r="D32" s="34">
        <f>VLOOKUP(B32,'County Data'!$B$10:$L$46,4,FALSE)</f>
        <v>8.1797190000000006E-2</v>
      </c>
      <c r="E32" s="31">
        <f t="shared" si="0"/>
        <v>3217.0834827000003</v>
      </c>
      <c r="F32" s="6">
        <f t="shared" si="2"/>
        <v>1.1764265571703413E-2</v>
      </c>
      <c r="G32" s="14">
        <f t="shared" si="3"/>
        <v>27253.881907779571</v>
      </c>
      <c r="H32" s="10">
        <f t="shared" si="1"/>
        <v>0.69295402765775671</v>
      </c>
      <c r="I32" s="22"/>
    </row>
    <row r="33" spans="2:9" x14ac:dyDescent="0.45">
      <c r="B33" s="20" t="str">
        <f>'County Data'!$B$26</f>
        <v>Josephine</v>
      </c>
      <c r="C33" s="15">
        <f>VLOOKUP($B33,'County Data'!$B$10:$L$46,2,FALSE)</f>
        <v>86750</v>
      </c>
      <c r="D33" s="34">
        <f>VLOOKUP(B33,'County Data'!$B$10:$L$46,4,FALSE)</f>
        <v>9.9210980000000004E-2</v>
      </c>
      <c r="E33" s="31">
        <f t="shared" si="0"/>
        <v>8606.5525150000012</v>
      </c>
      <c r="F33" s="6">
        <f t="shared" si="2"/>
        <v>3.1472534047607643E-2</v>
      </c>
      <c r="G33" s="14">
        <f t="shared" si="3"/>
        <v>72911.370543624376</v>
      </c>
      <c r="H33" s="10">
        <f t="shared" si="1"/>
        <v>0.84047689387463254</v>
      </c>
      <c r="I33" s="22"/>
    </row>
    <row r="34" spans="2:9" x14ac:dyDescent="0.45">
      <c r="B34" s="20" t="str">
        <f>'County Data'!$B$19</f>
        <v>Douglas</v>
      </c>
      <c r="C34" s="15">
        <f>VLOOKUP($B34,'County Data'!$B$10:$L$46,2,FALSE)</f>
        <v>112250</v>
      </c>
      <c r="D34" s="34">
        <f>VLOOKUP(B34,'County Data'!$B$10:$L$46,4,FALSE)</f>
        <v>0.10093575</v>
      </c>
      <c r="E34" s="31">
        <f t="shared" si="0"/>
        <v>11330.037937500001</v>
      </c>
      <c r="F34" s="6">
        <f t="shared" si="2"/>
        <v>4.1431804909942506E-2</v>
      </c>
      <c r="G34" s="14">
        <f t="shared" si="3"/>
        <v>95983.681374700129</v>
      </c>
      <c r="H34" s="10">
        <f t="shared" si="1"/>
        <v>0.85508847549844214</v>
      </c>
      <c r="I34" s="22"/>
    </row>
    <row r="35" spans="2:9" x14ac:dyDescent="0.45">
      <c r="B35" s="20" t="str">
        <f>'County Data'!$B$27</f>
        <v>Klamath</v>
      </c>
      <c r="C35" s="15">
        <f>VLOOKUP($B35,'County Data'!$B$10:$L$46,2,FALSE)</f>
        <v>68190</v>
      </c>
      <c r="D35" s="34">
        <f>VLOOKUP(B35,'County Data'!$B$10:$L$46,4,FALSE)</f>
        <v>9.6826550000000011E-2</v>
      </c>
      <c r="E35" s="31">
        <f t="shared" si="0"/>
        <v>6602.6024445000012</v>
      </c>
      <c r="F35" s="6">
        <f t="shared" si="2"/>
        <v>2.414446781974277E-2</v>
      </c>
      <c r="G35" s="14">
        <f t="shared" si="3"/>
        <v>55934.683782404078</v>
      </c>
      <c r="H35" s="10">
        <f t="shared" si="1"/>
        <v>0.82027692891045723</v>
      </c>
      <c r="I35" s="22"/>
    </row>
    <row r="36" spans="2:9" x14ac:dyDescent="0.45">
      <c r="B36" s="20" t="str">
        <f>'County Data'!$B$15</f>
        <v>Coos</v>
      </c>
      <c r="C36" s="15">
        <f>VLOOKUP($B36,'County Data'!$B$10:$L$46,2,FALSE)</f>
        <v>63290</v>
      </c>
      <c r="D36" s="34">
        <f>VLOOKUP(B36,'County Data'!$B$10:$L$46,4,FALSE)</f>
        <v>9.8415849999999985E-2</v>
      </c>
      <c r="E36" s="31">
        <f t="shared" si="0"/>
        <v>6228.7391464999992</v>
      </c>
      <c r="F36" s="6">
        <f t="shared" si="2"/>
        <v>2.2777320479974758E-2</v>
      </c>
      <c r="G36" s="14">
        <f t="shared" si="3"/>
        <v>52767.45911194152</v>
      </c>
      <c r="H36" s="10">
        <f t="shared" si="1"/>
        <v>0.83374086130417946</v>
      </c>
      <c r="I36" s="22"/>
    </row>
    <row r="37" spans="2:9" x14ac:dyDescent="0.45">
      <c r="B37" s="20" t="str">
        <f>'County Data'!$B$30</f>
        <v>Lincoln</v>
      </c>
      <c r="C37" s="15">
        <f>VLOOKUP($B37,'County Data'!$B$10:$L$46,2,FALSE)</f>
        <v>48260</v>
      </c>
      <c r="D37" s="34">
        <f>VLOOKUP(B37,'County Data'!$B$10:$L$46,4,FALSE)</f>
        <v>9.7818940000000007E-2</v>
      </c>
      <c r="E37" s="31">
        <f t="shared" si="0"/>
        <v>4720.7420443999999</v>
      </c>
      <c r="F37" s="6">
        <f t="shared" si="2"/>
        <v>1.7262860415178896E-2</v>
      </c>
      <c r="G37" s="14">
        <f t="shared" si="3"/>
        <v>39992.29329516444</v>
      </c>
      <c r="H37" s="10">
        <f t="shared" si="1"/>
        <v>0.82868407159478741</v>
      </c>
      <c r="I37" s="22"/>
    </row>
    <row r="38" spans="2:9" x14ac:dyDescent="0.45">
      <c r="B38" s="20" t="str">
        <f>'County Data'!$B$25</f>
        <v>Jefferson</v>
      </c>
      <c r="C38" s="15">
        <f>VLOOKUP($B38,'County Data'!$B$10:$L$46,2,FALSE)</f>
        <v>23840</v>
      </c>
      <c r="D38" s="34">
        <f>VLOOKUP(B38,'County Data'!$B$10:$L$46,4,FALSE)</f>
        <v>8.5968059999999999E-2</v>
      </c>
      <c r="E38" s="31">
        <f t="shared" si="0"/>
        <v>2049.4785504000001</v>
      </c>
      <c r="F38" s="6">
        <f t="shared" si="2"/>
        <v>7.4945552641301171E-3</v>
      </c>
      <c r="G38" s="14">
        <f t="shared" si="3"/>
        <v>17362.386361901437</v>
      </c>
      <c r="H38" s="10">
        <f t="shared" si="1"/>
        <v>0.72828801853613412</v>
      </c>
      <c r="I38" s="22"/>
    </row>
    <row r="39" spans="2:9" x14ac:dyDescent="0.45">
      <c r="B39" s="20" t="str">
        <f>'County Data'!$B$22</f>
        <v>Harney</v>
      </c>
      <c r="C39" s="15">
        <f>VLOOKUP($B39,'County Data'!$B$10:$L$46,2,FALSE)</f>
        <v>7360</v>
      </c>
      <c r="D39" s="34">
        <f>VLOOKUP(B39,'County Data'!$B$10:$L$46,4,FALSE)</f>
        <v>9.5802139999999994E-2</v>
      </c>
      <c r="E39" s="31">
        <f t="shared" si="0"/>
        <v>705.10375039999997</v>
      </c>
      <c r="F39" s="6">
        <f t="shared" si="2"/>
        <v>2.5784309981125857E-3</v>
      </c>
      <c r="G39" s="14">
        <f t="shared" si="3"/>
        <v>5973.3651456274902</v>
      </c>
      <c r="H39" s="10">
        <f t="shared" si="1"/>
        <v>0.81159852522112641</v>
      </c>
      <c r="I39" s="22"/>
    </row>
    <row r="40" spans="2:9" x14ac:dyDescent="0.45">
      <c r="B40" s="20" t="str">
        <f>'County Data'!$B$17</f>
        <v>Curry</v>
      </c>
      <c r="C40" s="15">
        <f>VLOOKUP($B40,'County Data'!$B$10:$L$46,2,FALSE)</f>
        <v>23000</v>
      </c>
      <c r="D40" s="34">
        <f>VLOOKUP(B40,'County Data'!$B$10:$L$46,4,FALSE)</f>
        <v>9.8974709999999994E-2</v>
      </c>
      <c r="E40" s="31">
        <f t="shared" si="0"/>
        <v>2276.41833</v>
      </c>
      <c r="F40" s="6">
        <f t="shared" si="2"/>
        <v>8.3244310974291569E-3</v>
      </c>
      <c r="G40" s="14">
        <f t="shared" si="3"/>
        <v>19284.932042377546</v>
      </c>
      <c r="H40" s="10">
        <f t="shared" si="1"/>
        <v>0.83847530619032806</v>
      </c>
      <c r="I40" s="22"/>
    </row>
    <row r="41" spans="2:9" x14ac:dyDescent="0.45">
      <c r="B41" s="4" t="s">
        <v>2</v>
      </c>
      <c r="C41" s="5">
        <f>SUM(C6:C40)</f>
        <v>4236400</v>
      </c>
      <c r="D41" s="5">
        <f>SUM(D6:D40)</f>
        <v>2.5689659599999994</v>
      </c>
      <c r="E41" s="5">
        <f>SUM(E6:E40)</f>
        <v>273462.33074150002</v>
      </c>
      <c r="F41" s="8">
        <f>SUM(F6:F40)</f>
        <v>0.99999999999999989</v>
      </c>
      <c r="G41" s="11">
        <f>SUM(G6:G40)</f>
        <v>2316666.666666667</v>
      </c>
      <c r="H41" s="12">
        <f>G41/C41</f>
        <v>0.54684795266421182</v>
      </c>
    </row>
  </sheetData>
  <sortState xmlns:xlrd2="http://schemas.microsoft.com/office/spreadsheetml/2017/richdata2" ref="B7:H40">
    <sortCondition ref="D7:D40"/>
  </sortState>
  <pageMargins left="0.7" right="0.7" top="0.75" bottom="0.75" header="0.3" footer="0.3"/>
  <pageSetup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3:L41"/>
  <sheetViews>
    <sheetView workbookViewId="0"/>
  </sheetViews>
  <sheetFormatPr defaultRowHeight="14.25" x14ac:dyDescent="0.45"/>
  <cols>
    <col min="2" max="2" width="17.3984375" bestFit="1" customWidth="1"/>
    <col min="3" max="3" width="11.86328125" bestFit="1" customWidth="1"/>
    <col min="4" max="4" width="7.1328125" bestFit="1" customWidth="1"/>
    <col min="5" max="5" width="10.59765625" bestFit="1" customWidth="1"/>
    <col min="6" max="6" width="9.73046875" bestFit="1" customWidth="1"/>
    <col min="7" max="7" width="14.1328125" customWidth="1"/>
    <col min="8" max="8" width="10" bestFit="1" customWidth="1"/>
  </cols>
  <sheetData>
    <row r="3" spans="2:12" x14ac:dyDescent="0.45">
      <c r="B3" t="s">
        <v>0</v>
      </c>
      <c r="C3" s="1">
        <f>'County Data'!C5</f>
        <v>17000000</v>
      </c>
    </row>
    <row r="4" spans="2:12" x14ac:dyDescent="0.45">
      <c r="B4" t="s">
        <v>41</v>
      </c>
      <c r="C4" s="14">
        <f>'County Data'!F9</f>
        <v>2316666.6666666665</v>
      </c>
      <c r="D4" s="9"/>
    </row>
    <row r="6" spans="2:12" s="2" customFormat="1" ht="28.5" x14ac:dyDescent="0.45">
      <c r="B6" s="3" t="s">
        <v>7</v>
      </c>
      <c r="C6" s="3" t="s">
        <v>1</v>
      </c>
      <c r="D6" s="3" t="s">
        <v>14</v>
      </c>
      <c r="E6" s="3" t="s">
        <v>33</v>
      </c>
      <c r="F6" s="3" t="s">
        <v>34</v>
      </c>
      <c r="G6" s="13" t="s">
        <v>13</v>
      </c>
      <c r="H6" s="3" t="s">
        <v>6</v>
      </c>
    </row>
    <row r="7" spans="2:12" x14ac:dyDescent="0.45">
      <c r="B7" s="20" t="str">
        <f>+'County Data'!$B$18</f>
        <v>Deschutes</v>
      </c>
      <c r="C7" s="15">
        <f>VLOOKUP($B7,'County Data'!$B$10:$L$46,2,FALSE)</f>
        <v>193000</v>
      </c>
      <c r="D7" s="29">
        <f>VLOOKUP($B7,'County Data'!$B$10:$L$46,5,FALSE)</f>
        <v>0.13699999999999998</v>
      </c>
      <c r="E7" s="31">
        <f t="shared" ref="E7:E40" si="0">C7*D7</f>
        <v>26440.999999999996</v>
      </c>
      <c r="F7" s="6">
        <f t="shared" ref="F7:F40" si="1">E7/$E$41</f>
        <v>3.7088659331301052E-2</v>
      </c>
      <c r="G7" s="14">
        <f t="shared" ref="G7:G40" si="2">$C$4*F7</f>
        <v>85922.060784180765</v>
      </c>
      <c r="H7" s="10">
        <f t="shared" ref="H7:H40" si="3">G7/C7</f>
        <v>0.44519202478850139</v>
      </c>
      <c r="J7" s="187"/>
      <c r="K7" s="187"/>
      <c r="L7" s="22"/>
    </row>
    <row r="8" spans="2:12" x14ac:dyDescent="0.45">
      <c r="B8" s="20" t="str">
        <f>+'County Data'!$B$42</f>
        <v>Wallowa</v>
      </c>
      <c r="C8" s="15">
        <f>VLOOKUP($B8,'County Data'!$B$10:$L$46,2,FALSE)</f>
        <v>7150</v>
      </c>
      <c r="D8" s="29">
        <f>VLOOKUP($B8,'County Data'!$B$10:$L$46,5,FALSE)</f>
        <v>0.14899999999999999</v>
      </c>
      <c r="E8" s="31">
        <f t="shared" si="0"/>
        <v>1065.3499999999999</v>
      </c>
      <c r="F8" s="6">
        <f t="shared" si="1"/>
        <v>1.4943611519459012E-3</v>
      </c>
      <c r="G8" s="14">
        <f t="shared" si="2"/>
        <v>3461.9366686746707</v>
      </c>
      <c r="H8" s="10">
        <f t="shared" si="3"/>
        <v>0.48418694666778611</v>
      </c>
      <c r="J8" s="187"/>
      <c r="K8" s="187"/>
      <c r="L8" s="22"/>
    </row>
    <row r="9" spans="2:12" x14ac:dyDescent="0.45">
      <c r="B9" s="20" t="str">
        <f>+'County Data'!$B$28</f>
        <v>Lake</v>
      </c>
      <c r="C9" s="15">
        <f>VLOOKUP($B9,'County Data'!$B$10:$L$46,2,FALSE)</f>
        <v>8080</v>
      </c>
      <c r="D9" s="29">
        <f>VLOOKUP($B9,'County Data'!$B$10:$L$46,5,FALSE)</f>
        <v>0.17899999999999999</v>
      </c>
      <c r="E9" s="31">
        <f t="shared" si="0"/>
        <v>1446.32</v>
      </c>
      <c r="F9" s="6">
        <f t="shared" si="1"/>
        <v>2.0287458781455821E-3</v>
      </c>
      <c r="G9" s="14">
        <f t="shared" si="2"/>
        <v>4699.9279510372644</v>
      </c>
      <c r="H9" s="10">
        <f t="shared" si="3"/>
        <v>0.58167425136599804</v>
      </c>
      <c r="J9" s="187"/>
      <c r="K9" s="187"/>
      <c r="L9" s="22"/>
    </row>
    <row r="10" spans="2:12" x14ac:dyDescent="0.45">
      <c r="B10" s="20" t="str">
        <f>+'County Data'!$B$44</f>
        <v>Washington</v>
      </c>
      <c r="C10" s="15">
        <f>VLOOKUP($B10,'County Data'!$B$10:$L$46,2,FALSE)</f>
        <v>613410</v>
      </c>
      <c r="D10" s="29">
        <f>VLOOKUP($B10,'County Data'!$B$10:$L$46,5,FALSE)</f>
        <v>0.151</v>
      </c>
      <c r="E10" s="31">
        <f t="shared" si="0"/>
        <v>92624.91</v>
      </c>
      <c r="F10" s="6">
        <f t="shared" si="1"/>
        <v>0.12992450106207862</v>
      </c>
      <c r="G10" s="14">
        <f t="shared" si="2"/>
        <v>300991.76079381543</v>
      </c>
      <c r="H10" s="10">
        <f t="shared" si="3"/>
        <v>0.49068610031433368</v>
      </c>
      <c r="J10" s="187"/>
      <c r="K10" s="187"/>
      <c r="L10" s="22"/>
    </row>
    <row r="11" spans="2:12" x14ac:dyDescent="0.45">
      <c r="B11" s="20" t="str">
        <f>+'County Data'!$B$10</f>
        <v>Baker</v>
      </c>
      <c r="C11" s="15">
        <f>VLOOKUP($B11,'County Data'!$B$10:$L$46,2,FALSE)</f>
        <v>16820</v>
      </c>
      <c r="D11" s="29">
        <f>VLOOKUP($B11,'County Data'!$B$10:$L$46,5,FALSE)</f>
        <v>0.18899999999999997</v>
      </c>
      <c r="E11" s="31">
        <f t="shared" si="0"/>
        <v>3178.9799999999996</v>
      </c>
      <c r="F11" s="6">
        <f t="shared" si="1"/>
        <v>4.4591394516477973E-3</v>
      </c>
      <c r="G11" s="14">
        <f t="shared" si="2"/>
        <v>10330.33972965073</v>
      </c>
      <c r="H11" s="10">
        <f t="shared" si="3"/>
        <v>0.61417001959873541</v>
      </c>
      <c r="J11" s="187"/>
      <c r="K11" s="187"/>
      <c r="L11" s="22"/>
    </row>
    <row r="12" spans="2:12" x14ac:dyDescent="0.45">
      <c r="B12" s="20" t="str">
        <f>+'County Data'!$B$11</f>
        <v>Benton</v>
      </c>
      <c r="C12" s="15">
        <f>VLOOKUP($B12,'County Data'!$B$10:$L$46,2,FALSE)</f>
        <v>94360</v>
      </c>
      <c r="D12" s="29">
        <f>VLOOKUP($B12,'County Data'!$B$10:$L$46,5,FALSE)</f>
        <v>0.113</v>
      </c>
      <c r="E12" s="31">
        <f t="shared" si="0"/>
        <v>10662.68</v>
      </c>
      <c r="F12" s="6">
        <f t="shared" si="1"/>
        <v>1.4956488259849368E-2</v>
      </c>
      <c r="G12" s="14">
        <f t="shared" si="2"/>
        <v>34649.197801984366</v>
      </c>
      <c r="H12" s="10">
        <f t="shared" si="3"/>
        <v>0.3672021810299318</v>
      </c>
      <c r="J12" s="187"/>
      <c r="K12" s="187"/>
      <c r="L12" s="22"/>
    </row>
    <row r="13" spans="2:12" x14ac:dyDescent="0.45">
      <c r="B13" s="20" t="str">
        <f>+'County Data'!$B$41</f>
        <v>Union</v>
      </c>
      <c r="C13" s="15">
        <f>VLOOKUP($B13,'County Data'!$B$10:$L$46,2,FALSE)</f>
        <v>26840</v>
      </c>
      <c r="D13" s="29">
        <f>VLOOKUP($B13,'County Data'!$B$10:$L$46,5,FALSE)</f>
        <v>0.106</v>
      </c>
      <c r="E13" s="31">
        <f t="shared" si="0"/>
        <v>2845.04</v>
      </c>
      <c r="F13" s="6">
        <f t="shared" si="1"/>
        <v>3.9907234727856265E-3</v>
      </c>
      <c r="G13" s="14">
        <f t="shared" si="2"/>
        <v>9245.1760452867002</v>
      </c>
      <c r="H13" s="10">
        <f t="shared" si="3"/>
        <v>0.34445514326701565</v>
      </c>
      <c r="J13" s="187"/>
      <c r="K13" s="187"/>
      <c r="L13" s="22"/>
    </row>
    <row r="14" spans="2:12" x14ac:dyDescent="0.45">
      <c r="B14" s="20" t="str">
        <f>+'County Data'!$B$37</f>
        <v>Polk</v>
      </c>
      <c r="C14" s="15">
        <f>VLOOKUP($B14,'County Data'!$B$10:$L$46,2,FALSE)</f>
        <v>82940</v>
      </c>
      <c r="D14" s="29">
        <f>VLOOKUP($B14,'County Data'!$B$10:$L$46,5,FALSE)</f>
        <v>0.183</v>
      </c>
      <c r="E14" s="31">
        <f t="shared" si="0"/>
        <v>15178.02</v>
      </c>
      <c r="F14" s="6">
        <f t="shared" si="1"/>
        <v>2.129013324396483E-2</v>
      </c>
      <c r="G14" s="14">
        <f t="shared" si="2"/>
        <v>49322.142015185185</v>
      </c>
      <c r="H14" s="10">
        <f t="shared" si="3"/>
        <v>0.59467255865909319</v>
      </c>
      <c r="J14" s="187"/>
      <c r="K14" s="187"/>
      <c r="L14" s="22"/>
    </row>
    <row r="15" spans="2:12" x14ac:dyDescent="0.45">
      <c r="B15" s="20" t="str">
        <f>+'County Data'!$B$12</f>
        <v>Clackamas</v>
      </c>
      <c r="C15" s="15">
        <f>VLOOKUP($B15,'County Data'!$B$10:$L$46,2,FALSE)</f>
        <v>423420</v>
      </c>
      <c r="D15" s="29">
        <f>VLOOKUP($B15,'County Data'!$B$10:$L$46,5,FALSE)</f>
        <v>0.14499999999999999</v>
      </c>
      <c r="E15" s="31">
        <f t="shared" si="0"/>
        <v>61395.899999999994</v>
      </c>
      <c r="F15" s="6">
        <f t="shared" si="1"/>
        <v>8.6119723892387812E-2</v>
      </c>
      <c r="G15" s="14">
        <f t="shared" si="2"/>
        <v>199510.69368403175</v>
      </c>
      <c r="H15" s="10">
        <f t="shared" si="3"/>
        <v>0.47118863937469119</v>
      </c>
      <c r="J15" s="187"/>
      <c r="K15" s="187"/>
      <c r="L15" s="22"/>
    </row>
    <row r="16" spans="2:12" x14ac:dyDescent="0.45">
      <c r="B16" s="20" t="str">
        <f>+'County Data'!$B$13</f>
        <v>Clatsop</v>
      </c>
      <c r="C16" s="15">
        <f>VLOOKUP($B16,'County Data'!$B$10:$L$46,2,FALSE)</f>
        <v>39330</v>
      </c>
      <c r="D16" s="29">
        <f>VLOOKUP($B16,'County Data'!$B$10:$L$46,5,FALSE)</f>
        <v>0.15</v>
      </c>
      <c r="E16" s="31">
        <f t="shared" si="0"/>
        <v>5899.5</v>
      </c>
      <c r="F16" s="6">
        <f t="shared" si="1"/>
        <v>8.2751993390949869E-3</v>
      </c>
      <c r="G16" s="14">
        <f t="shared" si="2"/>
        <v>19170.878468903386</v>
      </c>
      <c r="H16" s="10">
        <f t="shared" si="3"/>
        <v>0.48743652349105987</v>
      </c>
      <c r="J16" s="187"/>
      <c r="K16" s="187"/>
      <c r="L16" s="22"/>
    </row>
    <row r="17" spans="2:12" x14ac:dyDescent="0.45">
      <c r="B17" s="20" t="str">
        <f>+'County Data'!$B$36</f>
        <v>Gilliam, Sherman, Wasco</v>
      </c>
      <c r="C17" s="15">
        <f>VLOOKUP($B17,'County Data'!$B$10:$L$46,2,FALSE)</f>
        <v>31000</v>
      </c>
      <c r="D17" s="29">
        <f>VLOOKUP($B17,'County Data'!$B$10:$L$46,5,FALSE)</f>
        <v>0.13800000000000001</v>
      </c>
      <c r="E17" s="31">
        <f t="shared" si="0"/>
        <v>4278</v>
      </c>
      <c r="F17" s="6">
        <f t="shared" si="1"/>
        <v>6.000729345308646E-3</v>
      </c>
      <c r="G17" s="14">
        <f t="shared" si="2"/>
        <v>13901.689649965028</v>
      </c>
      <c r="H17" s="10">
        <f t="shared" si="3"/>
        <v>0.4484416016117751</v>
      </c>
      <c r="J17" s="187"/>
      <c r="K17" s="187"/>
      <c r="L17" s="22"/>
    </row>
    <row r="18" spans="2:12" x14ac:dyDescent="0.45">
      <c r="B18" s="20" t="str">
        <f>+'County Data'!$B$29</f>
        <v>Lane</v>
      </c>
      <c r="C18" s="15">
        <f>VLOOKUP($B18,'County Data'!$B$10:$L$46,2,FALSE)</f>
        <v>378880</v>
      </c>
      <c r="D18" s="29">
        <f>VLOOKUP($B18,'County Data'!$B$10:$L$46,5,FALSE)</f>
        <v>0.16600000000000001</v>
      </c>
      <c r="E18" s="31">
        <f t="shared" si="0"/>
        <v>62894.080000000002</v>
      </c>
      <c r="F18" s="6">
        <f t="shared" si="1"/>
        <v>8.822121353487368E-2</v>
      </c>
      <c r="G18" s="14">
        <f t="shared" si="2"/>
        <v>204379.14468912402</v>
      </c>
      <c r="H18" s="10">
        <f t="shared" si="3"/>
        <v>0.53942975266343962</v>
      </c>
      <c r="J18" s="187"/>
      <c r="K18" s="187"/>
      <c r="L18" s="22"/>
    </row>
    <row r="19" spans="2:12" x14ac:dyDescent="0.45">
      <c r="B19" s="20" t="str">
        <f>+'County Data'!$B$35</f>
        <v>Multnomah</v>
      </c>
      <c r="C19" s="15">
        <f>VLOOKUP($B19,'County Data'!$B$10:$L$46,2,FALSE)</f>
        <v>821730</v>
      </c>
      <c r="D19" s="29">
        <f>VLOOKUP($B19,'County Data'!$B$10:$L$46,5,FALSE)</f>
        <v>0.161</v>
      </c>
      <c r="E19" s="31">
        <f t="shared" si="0"/>
        <v>132298.53</v>
      </c>
      <c r="F19" s="6">
        <f t="shared" si="1"/>
        <v>0.18557449072281351</v>
      </c>
      <c r="G19" s="14">
        <f t="shared" si="2"/>
        <v>429914.23684118461</v>
      </c>
      <c r="H19" s="10">
        <f t="shared" si="3"/>
        <v>0.52318186854707094</v>
      </c>
      <c r="J19" s="187"/>
      <c r="K19" s="187"/>
      <c r="L19" s="22"/>
    </row>
    <row r="20" spans="2:12" x14ac:dyDescent="0.45">
      <c r="B20" s="20" t="str">
        <f>+'County Data'!$B$21</f>
        <v>Grant</v>
      </c>
      <c r="C20" s="15">
        <f>VLOOKUP($B20,'County Data'!$B$10:$L$46,2,FALSE)</f>
        <v>7360</v>
      </c>
      <c r="D20" s="29">
        <f>VLOOKUP($B20,'County Data'!$B$10:$L$46,5,FALSE)</f>
        <v>0.155</v>
      </c>
      <c r="E20" s="31">
        <f t="shared" si="0"/>
        <v>1140.8</v>
      </c>
      <c r="F20" s="6">
        <f t="shared" si="1"/>
        <v>1.6001944920823056E-3</v>
      </c>
      <c r="G20" s="14">
        <f t="shared" si="2"/>
        <v>3707.1172399906741</v>
      </c>
      <c r="H20" s="10">
        <f t="shared" si="3"/>
        <v>0.5036844076074285</v>
      </c>
      <c r="J20" s="187"/>
      <c r="K20" s="187"/>
      <c r="L20" s="22"/>
    </row>
    <row r="21" spans="2:12" x14ac:dyDescent="0.45">
      <c r="B21" s="20" t="str">
        <f>+'County Data'!$B$24</f>
        <v>Jackson</v>
      </c>
      <c r="C21" s="15">
        <f>VLOOKUP($B21,'County Data'!$B$10:$L$46,2,FALSE)</f>
        <v>221290</v>
      </c>
      <c r="D21" s="29">
        <f>VLOOKUP($B21,'County Data'!$B$10:$L$46,5,FALSE)</f>
        <v>0.184</v>
      </c>
      <c r="E21" s="31">
        <f t="shared" si="0"/>
        <v>40717.360000000001</v>
      </c>
      <c r="F21" s="6">
        <f t="shared" si="1"/>
        <v>5.7114038573047324E-2</v>
      </c>
      <c r="G21" s="14">
        <f t="shared" si="2"/>
        <v>132314.18936089295</v>
      </c>
      <c r="H21" s="10">
        <f t="shared" si="3"/>
        <v>0.59792213548236683</v>
      </c>
      <c r="J21" s="187"/>
      <c r="K21" s="187"/>
      <c r="L21" s="22"/>
    </row>
    <row r="22" spans="2:12" x14ac:dyDescent="0.45">
      <c r="B22" s="20" t="str">
        <f>+'County Data'!$B$31</f>
        <v>Linn</v>
      </c>
      <c r="C22" s="15">
        <f>VLOOKUP($B22,'County Data'!$B$10:$L$46,2,FALSE)</f>
        <v>126550</v>
      </c>
      <c r="D22" s="29">
        <f>VLOOKUP($B22,'County Data'!$B$10:$L$46,5,FALSE)</f>
        <v>0.18100000000000002</v>
      </c>
      <c r="E22" s="31">
        <f t="shared" si="0"/>
        <v>22905.550000000003</v>
      </c>
      <c r="F22" s="6">
        <f t="shared" si="1"/>
        <v>3.2129501181728491E-2</v>
      </c>
      <c r="G22" s="14">
        <f t="shared" si="2"/>
        <v>74433.344404337666</v>
      </c>
      <c r="H22" s="10">
        <f t="shared" si="3"/>
        <v>0.58817340501254578</v>
      </c>
      <c r="J22" s="187"/>
      <c r="K22" s="187"/>
      <c r="L22" s="22"/>
    </row>
    <row r="23" spans="2:12" x14ac:dyDescent="0.45">
      <c r="B23" s="20" t="str">
        <f>+'County Data'!$B$25</f>
        <v>Jefferson</v>
      </c>
      <c r="C23" s="15">
        <f>VLOOKUP($B23,'County Data'!$B$10:$L$46,2,FALSE)</f>
        <v>23840</v>
      </c>
      <c r="D23" s="29">
        <f>VLOOKUP($B23,'County Data'!$B$10:$L$46,5,FALSE)</f>
        <v>0.13699999999999998</v>
      </c>
      <c r="E23" s="31">
        <f t="shared" si="0"/>
        <v>3266.0799999999995</v>
      </c>
      <c r="F23" s="6">
        <f t="shared" si="1"/>
        <v>4.5813141889026786E-3</v>
      </c>
      <c r="G23" s="14">
        <f t="shared" si="2"/>
        <v>10613.377870957871</v>
      </c>
      <c r="H23" s="10">
        <f t="shared" si="3"/>
        <v>0.44519202478850128</v>
      </c>
      <c r="J23" s="187"/>
      <c r="K23" s="187"/>
      <c r="L23" s="22"/>
    </row>
    <row r="24" spans="2:12" x14ac:dyDescent="0.45">
      <c r="B24" s="20" t="str">
        <f>+'County Data'!$B$46</f>
        <v>Yamhill</v>
      </c>
      <c r="C24" s="15">
        <f>VLOOKUP($B24,'County Data'!$B$10:$L$46,2,FALSE)</f>
        <v>108060</v>
      </c>
      <c r="D24" s="29">
        <f>VLOOKUP($B24,'County Data'!$B$10:$L$46,5,FALSE)</f>
        <v>0.184</v>
      </c>
      <c r="E24" s="31">
        <f t="shared" si="0"/>
        <v>19883.04</v>
      </c>
      <c r="F24" s="6">
        <f t="shared" si="1"/>
        <v>2.7889841421679669E-2</v>
      </c>
      <c r="G24" s="14">
        <f t="shared" si="2"/>
        <v>64611.465960224559</v>
      </c>
      <c r="H24" s="10">
        <f t="shared" si="3"/>
        <v>0.59792213548236683</v>
      </c>
      <c r="J24" s="187"/>
      <c r="K24" s="187"/>
      <c r="L24" s="22"/>
    </row>
    <row r="25" spans="2:12" x14ac:dyDescent="0.45">
      <c r="B25" s="20" t="str">
        <f>+'County Data'!$B$26</f>
        <v>Josephine</v>
      </c>
      <c r="C25" s="15">
        <f>VLOOKUP($B25,'County Data'!$B$10:$L$46,2,FALSE)</f>
        <v>86750</v>
      </c>
      <c r="D25" s="29">
        <f>VLOOKUP($B25,'County Data'!$B$10:$L$46,5,FALSE)</f>
        <v>0.218</v>
      </c>
      <c r="E25" s="31">
        <f t="shared" si="0"/>
        <v>18911.5</v>
      </c>
      <c r="F25" s="6">
        <f t="shared" si="1"/>
        <v>2.6527067090650881E-2</v>
      </c>
      <c r="G25" s="14">
        <f t="shared" si="2"/>
        <v>61454.372093341204</v>
      </c>
      <c r="H25" s="10">
        <f t="shared" si="3"/>
        <v>0.70840774747367385</v>
      </c>
      <c r="J25" s="187"/>
      <c r="K25" s="187"/>
      <c r="L25" s="22"/>
    </row>
    <row r="26" spans="2:12" x14ac:dyDescent="0.45">
      <c r="B26" s="20" t="str">
        <f>+'County Data'!$B$14</f>
        <v>Columbia</v>
      </c>
      <c r="C26" s="15">
        <f>VLOOKUP($B26,'County Data'!$B$10:$L$46,2,FALSE)</f>
        <v>52750</v>
      </c>
      <c r="D26" s="29">
        <f>VLOOKUP($B26,'County Data'!$B$10:$L$46,5,FALSE)</f>
        <v>0.20499999999999999</v>
      </c>
      <c r="E26" s="31">
        <f t="shared" si="0"/>
        <v>10813.75</v>
      </c>
      <c r="F26" s="6">
        <f t="shared" si="1"/>
        <v>1.5168393398277552E-2</v>
      </c>
      <c r="G26" s="14">
        <f t="shared" si="2"/>
        <v>35140.111372676329</v>
      </c>
      <c r="H26" s="10">
        <f t="shared" si="3"/>
        <v>0.66616324877111521</v>
      </c>
      <c r="J26" s="187"/>
      <c r="K26" s="187"/>
      <c r="L26" s="22"/>
    </row>
    <row r="27" spans="2:12" x14ac:dyDescent="0.45">
      <c r="B27" s="20" t="str">
        <f>+'County Data'!$B$39</f>
        <v>Tillamook</v>
      </c>
      <c r="C27" s="15">
        <f>VLOOKUP($B27,'County Data'!$B$10:$L$46,2,FALSE)</f>
        <v>26500</v>
      </c>
      <c r="D27" s="29">
        <f>VLOOKUP($B27,'County Data'!$B$10:$L$46,5,FALSE)</f>
        <v>0.16899999999999998</v>
      </c>
      <c r="E27" s="31">
        <f t="shared" si="0"/>
        <v>4478.5</v>
      </c>
      <c r="F27" s="6">
        <f t="shared" si="1"/>
        <v>6.2819696991502508E-3</v>
      </c>
      <c r="G27" s="14">
        <f t="shared" si="2"/>
        <v>14553.229803031414</v>
      </c>
      <c r="H27" s="10">
        <f t="shared" si="3"/>
        <v>0.5491784831332609</v>
      </c>
      <c r="J27" s="187"/>
      <c r="K27" s="187"/>
      <c r="L27" s="22"/>
    </row>
    <row r="28" spans="2:12" x14ac:dyDescent="0.45">
      <c r="B28" s="20" t="str">
        <f>+'County Data'!$B$33</f>
        <v>Marion</v>
      </c>
      <c r="C28" s="15">
        <f>VLOOKUP($B28,'County Data'!$B$10:$L$46,2,FALSE)</f>
        <v>347760</v>
      </c>
      <c r="D28" s="29">
        <f>VLOOKUP($B28,'County Data'!$B$10:$L$46,5,FALSE)</f>
        <v>0.192</v>
      </c>
      <c r="E28" s="31">
        <f t="shared" si="0"/>
        <v>66769.919999999998</v>
      </c>
      <c r="F28" s="6">
        <f t="shared" si="1"/>
        <v>9.3657835046262433E-2</v>
      </c>
      <c r="G28" s="14">
        <f t="shared" si="2"/>
        <v>216973.9845238413</v>
      </c>
      <c r="H28" s="10">
        <f t="shared" si="3"/>
        <v>0.62391875006855679</v>
      </c>
      <c r="J28" s="187"/>
      <c r="K28" s="187"/>
      <c r="L28" s="22"/>
    </row>
    <row r="29" spans="2:12" x14ac:dyDescent="0.45">
      <c r="B29" s="20" t="str">
        <f>+'County Data'!$B$23</f>
        <v>Hood River</v>
      </c>
      <c r="C29" s="15">
        <f>VLOOKUP($B29,'County Data'!$B$10:$L$46,2,FALSE)</f>
        <v>25480</v>
      </c>
      <c r="D29" s="29">
        <f>VLOOKUP($B29,'County Data'!$B$10:$L$46,5,FALSE)</f>
        <v>0.16399999999999998</v>
      </c>
      <c r="E29" s="31">
        <f t="shared" si="0"/>
        <v>4178.7199999999993</v>
      </c>
      <c r="F29" s="6">
        <f t="shared" si="1"/>
        <v>5.8614697825685232E-3</v>
      </c>
      <c r="G29" s="14">
        <f t="shared" si="2"/>
        <v>13579.071662950411</v>
      </c>
      <c r="H29" s="10">
        <f t="shared" si="3"/>
        <v>0.5329305990168921</v>
      </c>
      <c r="J29" s="187"/>
      <c r="K29" s="187"/>
      <c r="L29" s="22"/>
    </row>
    <row r="30" spans="2:12" x14ac:dyDescent="0.45">
      <c r="B30" s="20" t="str">
        <f>+'County Data'!$B$30</f>
        <v>Lincoln</v>
      </c>
      <c r="C30" s="15">
        <f>VLOOKUP($B30,'County Data'!$B$10:$L$46,2,FALSE)</f>
        <v>48260</v>
      </c>
      <c r="D30" s="29">
        <f>VLOOKUP($B30,'County Data'!$B$10:$L$46,5,FALSE)</f>
        <v>0.21299999999999999</v>
      </c>
      <c r="E30" s="31">
        <f t="shared" si="0"/>
        <v>10279.379999999999</v>
      </c>
      <c r="F30" s="6">
        <f t="shared" si="1"/>
        <v>1.4418835254225991E-2</v>
      </c>
      <c r="G30" s="14">
        <f t="shared" si="2"/>
        <v>33403.635005623546</v>
      </c>
      <c r="H30" s="10">
        <f t="shared" si="3"/>
        <v>0.69215986335730517</v>
      </c>
      <c r="J30" s="187"/>
      <c r="K30" s="187"/>
      <c r="L30" s="22"/>
    </row>
    <row r="31" spans="2:12" x14ac:dyDescent="0.45">
      <c r="B31" s="20" t="str">
        <f>+'County Data'!$B$27</f>
        <v>Klamath</v>
      </c>
      <c r="C31" s="15">
        <f>VLOOKUP($B31,'County Data'!$B$10:$L$46,2,FALSE)</f>
        <v>68190</v>
      </c>
      <c r="D31" s="29">
        <f>VLOOKUP($B31,'County Data'!$B$10:$L$46,5,FALSE)</f>
        <v>0.17399999999999999</v>
      </c>
      <c r="E31" s="31">
        <f t="shared" si="0"/>
        <v>11865.06</v>
      </c>
      <c r="F31" s="6">
        <f t="shared" si="1"/>
        <v>1.6643060711979383E-2</v>
      </c>
      <c r="G31" s="14">
        <f t="shared" si="2"/>
        <v>38556.423982752232</v>
      </c>
      <c r="H31" s="10">
        <f t="shared" si="3"/>
        <v>0.56542636724962947</v>
      </c>
      <c r="J31" s="187"/>
      <c r="K31" s="187"/>
      <c r="L31" s="22"/>
    </row>
    <row r="32" spans="2:12" x14ac:dyDescent="0.45">
      <c r="B32" s="20" t="str">
        <f>+'County Data'!$B$15</f>
        <v>Coos</v>
      </c>
      <c r="C32" s="15">
        <f>VLOOKUP($B32,'County Data'!$B$10:$L$46,2,FALSE)</f>
        <v>63290</v>
      </c>
      <c r="D32" s="29">
        <f>VLOOKUP($B32,'County Data'!$B$10:$L$46,5,FALSE)</f>
        <v>0.214</v>
      </c>
      <c r="E32" s="31">
        <f t="shared" si="0"/>
        <v>13544.06</v>
      </c>
      <c r="F32" s="6">
        <f t="shared" si="1"/>
        <v>1.8998185670084388E-2</v>
      </c>
      <c r="G32" s="14">
        <f t="shared" si="2"/>
        <v>44012.463469028829</v>
      </c>
      <c r="H32" s="10">
        <f t="shared" si="3"/>
        <v>0.69540944018057871</v>
      </c>
      <c r="J32" s="187"/>
      <c r="K32" s="187"/>
      <c r="L32" s="22"/>
    </row>
    <row r="33" spans="2:12" x14ac:dyDescent="0.45">
      <c r="B33" s="20" t="str">
        <f>+'County Data'!$B$40</f>
        <v>Umatilla</v>
      </c>
      <c r="C33" s="15">
        <f>VLOOKUP($B33,'County Data'!$B$10:$L$46,2,FALSE)</f>
        <v>81160</v>
      </c>
      <c r="D33" s="29">
        <f>VLOOKUP($B33,'County Data'!$B$10:$L$46,5,FALSE)</f>
        <v>0.184</v>
      </c>
      <c r="E33" s="31">
        <f t="shared" si="0"/>
        <v>14933.44</v>
      </c>
      <c r="F33" s="6">
        <f t="shared" si="1"/>
        <v>2.0947062093129021E-2</v>
      </c>
      <c r="G33" s="14">
        <f t="shared" si="2"/>
        <v>48527.360515748893</v>
      </c>
      <c r="H33" s="10">
        <f t="shared" si="3"/>
        <v>0.59792213548236683</v>
      </c>
      <c r="J33" s="187"/>
      <c r="K33" s="187"/>
      <c r="L33" s="22"/>
    </row>
    <row r="34" spans="2:12" x14ac:dyDescent="0.45">
      <c r="B34" s="20" t="str">
        <f>+'County Data'!$B$19</f>
        <v>Douglas</v>
      </c>
      <c r="C34" s="15">
        <f>VLOOKUP($B34,'County Data'!$B$10:$L$46,2,FALSE)</f>
        <v>112250</v>
      </c>
      <c r="D34" s="29">
        <f>VLOOKUP($B34,'County Data'!$B$10:$L$46,5,FALSE)</f>
        <v>0.222</v>
      </c>
      <c r="E34" s="31">
        <f t="shared" si="0"/>
        <v>24919.5</v>
      </c>
      <c r="F34" s="6">
        <f t="shared" si="1"/>
        <v>3.4954458840677605E-2</v>
      </c>
      <c r="G34" s="14">
        <f t="shared" si="2"/>
        <v>80977.829647569772</v>
      </c>
      <c r="H34" s="10">
        <f t="shared" si="3"/>
        <v>0.72140605476676856</v>
      </c>
      <c r="J34" s="187"/>
      <c r="K34" s="187"/>
      <c r="L34" s="22"/>
    </row>
    <row r="35" spans="2:12" x14ac:dyDescent="0.45">
      <c r="B35" s="20" t="str">
        <f>+'County Data'!$B$17</f>
        <v>Curry</v>
      </c>
      <c r="C35" s="15">
        <f>VLOOKUP($B35,'County Data'!$B$10:$L$46,2,FALSE)</f>
        <v>23000</v>
      </c>
      <c r="D35" s="29">
        <f>VLOOKUP($B35,'County Data'!$B$10:$L$46,5,FALSE)</f>
        <v>0.20399999999999999</v>
      </c>
      <c r="E35" s="31">
        <f t="shared" si="0"/>
        <v>4692</v>
      </c>
      <c r="F35" s="6">
        <f t="shared" si="1"/>
        <v>6.5814450884030314E-3</v>
      </c>
      <c r="G35" s="14">
        <f t="shared" si="2"/>
        <v>15247.014454800355</v>
      </c>
      <c r="H35" s="10">
        <f t="shared" si="3"/>
        <v>0.66291367194784157</v>
      </c>
      <c r="J35" s="187"/>
      <c r="K35" s="187"/>
      <c r="L35" s="22"/>
    </row>
    <row r="36" spans="2:12" x14ac:dyDescent="0.45">
      <c r="B36" s="20" t="str">
        <f>+'County Data'!$B$16</f>
        <v>Crook</v>
      </c>
      <c r="C36" s="15">
        <f>VLOOKUP($B36,'County Data'!$B$10:$L$46,2,FALSE)</f>
        <v>23440</v>
      </c>
      <c r="D36" s="29">
        <f>VLOOKUP($B36,'County Data'!$B$10:$L$46,5,FALSE)</f>
        <v>0.23</v>
      </c>
      <c r="E36" s="31">
        <f t="shared" si="0"/>
        <v>5391.2</v>
      </c>
      <c r="F36" s="6">
        <f t="shared" si="1"/>
        <v>7.5622094545179921E-3</v>
      </c>
      <c r="G36" s="14">
        <f t="shared" si="2"/>
        <v>17519.118569633349</v>
      </c>
      <c r="H36" s="10">
        <f t="shared" si="3"/>
        <v>0.74740266935295852</v>
      </c>
      <c r="J36" s="187"/>
      <c r="K36" s="187"/>
      <c r="L36" s="22"/>
    </row>
    <row r="37" spans="2:12" x14ac:dyDescent="0.45">
      <c r="B37" s="20" t="str">
        <f>+'County Data'!$B$34</f>
        <v>Morrow</v>
      </c>
      <c r="C37" s="15">
        <f>VLOOKUP($B37,'County Data'!$B$10:$L$46,2,FALSE)</f>
        <v>12680</v>
      </c>
      <c r="D37" s="29">
        <f>VLOOKUP($B37,'County Data'!$B$10:$L$46,5,FALSE)</f>
        <v>0.312</v>
      </c>
      <c r="E37" s="31">
        <f t="shared" si="0"/>
        <v>3956.16</v>
      </c>
      <c r="F37" s="6">
        <f t="shared" si="1"/>
        <v>5.5492859763291843E-3</v>
      </c>
      <c r="G37" s="14">
        <f t="shared" si="2"/>
        <v>12855.84584516261</v>
      </c>
      <c r="H37" s="10">
        <f t="shared" si="3"/>
        <v>1.0138679688614045</v>
      </c>
      <c r="J37" s="187"/>
      <c r="K37" s="187"/>
      <c r="L37" s="22"/>
    </row>
    <row r="38" spans="2:12" x14ac:dyDescent="0.45">
      <c r="B38" s="20" t="str">
        <f>+'County Data'!$B$22</f>
        <v>Harney</v>
      </c>
      <c r="C38" s="15">
        <f>VLOOKUP($B38,'County Data'!$B$10:$L$46,2,FALSE)</f>
        <v>7360</v>
      </c>
      <c r="D38" s="29">
        <f>VLOOKUP($B38,'County Data'!$B$10:$L$46,5,FALSE)</f>
        <v>0.122</v>
      </c>
      <c r="E38" s="31">
        <f t="shared" si="0"/>
        <v>897.92</v>
      </c>
      <c r="F38" s="6">
        <f t="shared" si="1"/>
        <v>1.2595079228002663E-3</v>
      </c>
      <c r="G38" s="14">
        <f t="shared" si="2"/>
        <v>2917.8600211539501</v>
      </c>
      <c r="H38" s="10">
        <f t="shared" si="3"/>
        <v>0.3964483724393954</v>
      </c>
      <c r="J38" s="187"/>
      <c r="K38" s="187"/>
      <c r="L38" s="22"/>
    </row>
    <row r="39" spans="2:12" x14ac:dyDescent="0.45">
      <c r="B39" s="20" t="str">
        <f>+'County Data'!$B$32</f>
        <v>Malheur</v>
      </c>
      <c r="C39" s="15">
        <f>VLOOKUP($B39,'County Data'!$B$10:$L$46,2,FALSE)</f>
        <v>32030</v>
      </c>
      <c r="D39" s="29">
        <f>VLOOKUP($B39,'County Data'!$B$10:$L$46,5,FALSE)</f>
        <v>0.27100000000000002</v>
      </c>
      <c r="E39" s="31">
        <f t="shared" si="0"/>
        <v>8680.130000000001</v>
      </c>
      <c r="F39" s="6">
        <f t="shared" si="1"/>
        <v>1.2175575224893395E-2</v>
      </c>
      <c r="G39" s="14">
        <f t="shared" si="2"/>
        <v>28206.749271003031</v>
      </c>
      <c r="H39" s="10">
        <f t="shared" si="3"/>
        <v>0.88063531910718174</v>
      </c>
      <c r="J39" s="187"/>
      <c r="K39" s="187"/>
      <c r="L39" s="22"/>
    </row>
    <row r="40" spans="2:12" x14ac:dyDescent="0.45">
      <c r="B40" s="20" t="str">
        <f>'County Data'!$B$45</f>
        <v>Wheeler</v>
      </c>
      <c r="C40" s="15">
        <f>VLOOKUP($B40,'County Data'!$B$10:$L$46,2,FALSE)</f>
        <v>1440</v>
      </c>
      <c r="D40" s="29">
        <f>VLOOKUP($B40,'County Data'!$B$10:$L$46,5,FALSE)</f>
        <v>0.33399999999999996</v>
      </c>
      <c r="E40" s="31">
        <f t="shared" si="0"/>
        <v>480.95999999999992</v>
      </c>
      <c r="F40" s="6">
        <f t="shared" si="1"/>
        <v>6.7464020241225948E-4</v>
      </c>
      <c r="G40" s="14">
        <f t="shared" si="2"/>
        <v>1562.9164689217343</v>
      </c>
      <c r="H40" s="10">
        <f t="shared" si="3"/>
        <v>1.0853586589734265</v>
      </c>
      <c r="J40" s="187"/>
      <c r="K40" s="187"/>
      <c r="L40" s="22"/>
    </row>
    <row r="41" spans="2:12" x14ac:dyDescent="0.45">
      <c r="B41" s="4" t="s">
        <v>2</v>
      </c>
      <c r="C41" s="5">
        <f>SUM(C6:C40)</f>
        <v>4236400</v>
      </c>
      <c r="D41" s="5">
        <f>SUM(D6:D40)</f>
        <v>6.2360000000000015</v>
      </c>
      <c r="E41" s="5">
        <f>SUM(E6:E40)</f>
        <v>712913.34</v>
      </c>
      <c r="F41" s="8">
        <f>SUM(F6:F40)</f>
        <v>1.0000000000000004</v>
      </c>
      <c r="G41" s="11">
        <f>SUM(G6:G40)</f>
        <v>2316666.666666666</v>
      </c>
      <c r="H41" s="12">
        <f>G41/C41</f>
        <v>0.5468479526642116</v>
      </c>
    </row>
  </sheetData>
  <sortState xmlns:xlrd2="http://schemas.microsoft.com/office/spreadsheetml/2017/richdata2" ref="B7:H40">
    <sortCondition ref="D7:D40"/>
  </sortState>
  <pageMargins left="0.7" right="0.7" top="0.75" bottom="0.75" header="0.3" footer="0.3"/>
  <pageSetup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3:H41"/>
  <sheetViews>
    <sheetView workbookViewId="0"/>
  </sheetViews>
  <sheetFormatPr defaultRowHeight="14.25" x14ac:dyDescent="0.45"/>
  <cols>
    <col min="2" max="2" width="17.3984375" bestFit="1" customWidth="1"/>
    <col min="3" max="3" width="11.86328125" bestFit="1" customWidth="1"/>
    <col min="4" max="4" width="6.1328125" bestFit="1" customWidth="1"/>
    <col min="5" max="5" width="10.59765625" bestFit="1" customWidth="1"/>
    <col min="6" max="6" width="9.73046875" bestFit="1" customWidth="1"/>
    <col min="7" max="7" width="14.1328125" customWidth="1"/>
    <col min="8" max="8" width="10" bestFit="1" customWidth="1"/>
  </cols>
  <sheetData>
    <row r="3" spans="2:8" x14ac:dyDescent="0.45">
      <c r="B3" t="s">
        <v>0</v>
      </c>
      <c r="C3" s="1">
        <f>'County Data'!C5</f>
        <v>17000000</v>
      </c>
    </row>
    <row r="4" spans="2:8" x14ac:dyDescent="0.45">
      <c r="B4" t="s">
        <v>41</v>
      </c>
      <c r="C4" s="14">
        <f>'County Data'!G9</f>
        <v>2316666.6666666665</v>
      </c>
      <c r="D4" s="9"/>
    </row>
    <row r="6" spans="2:8" s="2" customFormat="1" ht="28.5" x14ac:dyDescent="0.45">
      <c r="B6" s="3" t="s">
        <v>7</v>
      </c>
      <c r="C6" s="3" t="s">
        <v>1</v>
      </c>
      <c r="D6" s="3" t="s">
        <v>14</v>
      </c>
      <c r="E6" s="3" t="s">
        <v>33</v>
      </c>
      <c r="F6" s="3" t="s">
        <v>34</v>
      </c>
      <c r="G6" s="13" t="s">
        <v>13</v>
      </c>
      <c r="H6" s="3" t="s">
        <v>6</v>
      </c>
    </row>
    <row r="7" spans="2:8" x14ac:dyDescent="0.45">
      <c r="B7" s="20" t="str">
        <f>'County Data'!$B$45</f>
        <v>Wheeler</v>
      </c>
      <c r="C7" s="15">
        <f>VLOOKUP($B7,'County Data'!$B$10:$L$46,2,FALSE)</f>
        <v>1440</v>
      </c>
      <c r="D7" s="29">
        <f>VLOOKUP($B7,'County Data'!$B$10:$L$46,6,FALSE)</f>
        <v>6.1711079943899017E-2</v>
      </c>
      <c r="E7" s="31">
        <f t="shared" ref="E7:E40" si="0">C7*D7</f>
        <v>88.86395511921458</v>
      </c>
      <c r="F7" s="6">
        <f t="shared" ref="F7:F40" si="1">E7/$E$41</f>
        <v>1.3456840743881457E-4</v>
      </c>
      <c r="G7" s="14">
        <f t="shared" ref="G7:G40" si="2">$C$4*F7</f>
        <v>311.75014389992037</v>
      </c>
      <c r="H7" s="10">
        <f t="shared" ref="H7:H40" si="3">G7/C7</f>
        <v>0.21649315548605583</v>
      </c>
    </row>
    <row r="8" spans="2:8" x14ac:dyDescent="0.45">
      <c r="B8" s="20" t="str">
        <f>+'County Data'!$B$42</f>
        <v>Wallowa</v>
      </c>
      <c r="C8" s="15">
        <f>VLOOKUP($B8,'County Data'!$B$10:$L$46,2,FALSE)</f>
        <v>7150</v>
      </c>
      <c r="D8" s="29">
        <f>VLOOKUP($B8,'County Data'!$B$10:$L$46,6,FALSE)</f>
        <v>4.9393414211438474E-2</v>
      </c>
      <c r="E8" s="31">
        <f t="shared" si="0"/>
        <v>353.16291161178509</v>
      </c>
      <c r="F8" s="6">
        <f t="shared" si="1"/>
        <v>5.3480143347543578E-4</v>
      </c>
      <c r="G8" s="14">
        <f t="shared" si="2"/>
        <v>1238.9566542180928</v>
      </c>
      <c r="H8" s="10">
        <f t="shared" si="3"/>
        <v>0.17328065093959341</v>
      </c>
    </row>
    <row r="9" spans="2:8" x14ac:dyDescent="0.45">
      <c r="B9" s="20" t="str">
        <f>+'County Data'!$B$21</f>
        <v>Grant</v>
      </c>
      <c r="C9" s="15">
        <f>VLOOKUP($B9,'County Data'!$B$10:$L$46,2,FALSE)</f>
        <v>7360</v>
      </c>
      <c r="D9" s="29">
        <f>VLOOKUP($B9,'County Data'!$B$10:$L$46,6,FALSE)</f>
        <v>5.3181122093832661E-2</v>
      </c>
      <c r="E9" s="31">
        <f t="shared" si="0"/>
        <v>391.4130586106084</v>
      </c>
      <c r="F9" s="6">
        <f t="shared" si="1"/>
        <v>5.9272437151062618E-4</v>
      </c>
      <c r="G9" s="14">
        <f t="shared" si="2"/>
        <v>1373.1447939996171</v>
      </c>
      <c r="H9" s="10">
        <f t="shared" si="3"/>
        <v>0.18656858614125232</v>
      </c>
    </row>
    <row r="10" spans="2:8" x14ac:dyDescent="0.45">
      <c r="B10" s="20" t="str">
        <f>+'County Data'!$B$10</f>
        <v>Baker</v>
      </c>
      <c r="C10" s="15">
        <f>VLOOKUP($B10,'County Data'!$B$10:$L$46,2,FALSE)</f>
        <v>16820</v>
      </c>
      <c r="D10" s="29">
        <f>VLOOKUP($B10,'County Data'!$B$10:$L$46,6,FALSE)</f>
        <v>7.063313313313313E-2</v>
      </c>
      <c r="E10" s="31">
        <f t="shared" si="0"/>
        <v>1188.0492992992993</v>
      </c>
      <c r="F10" s="6">
        <f t="shared" si="1"/>
        <v>1.7990860518309023E-3</v>
      </c>
      <c r="G10" s="14">
        <f t="shared" si="2"/>
        <v>4167.8826867415901</v>
      </c>
      <c r="H10" s="10">
        <f t="shared" si="3"/>
        <v>0.24779326318320988</v>
      </c>
    </row>
    <row r="11" spans="2:8" x14ac:dyDescent="0.45">
      <c r="B11" s="20" t="str">
        <f>+'County Data'!$B$41</f>
        <v>Union</v>
      </c>
      <c r="C11" s="15">
        <f>VLOOKUP($B11,'County Data'!$B$10:$L$46,2,FALSE)</f>
        <v>26840</v>
      </c>
      <c r="D11" s="29">
        <f>VLOOKUP($B11,'County Data'!$B$10:$L$46,6,FALSE)</f>
        <v>7.9414476717381277E-2</v>
      </c>
      <c r="E11" s="31">
        <f t="shared" si="0"/>
        <v>2131.4845550945133</v>
      </c>
      <c r="F11" s="6">
        <f t="shared" si="1"/>
        <v>3.2277483224182873E-3</v>
      </c>
      <c r="G11" s="14">
        <f t="shared" si="2"/>
        <v>7477.6169469356983</v>
      </c>
      <c r="H11" s="10">
        <f t="shared" si="3"/>
        <v>0.27859973721817055</v>
      </c>
    </row>
    <row r="12" spans="2:8" x14ac:dyDescent="0.45">
      <c r="B12" s="20" t="str">
        <f>+'County Data'!$B$14</f>
        <v>Columbia</v>
      </c>
      <c r="C12" s="15">
        <f>VLOOKUP($B12,'County Data'!$B$10:$L$46,2,FALSE)</f>
        <v>52750</v>
      </c>
      <c r="D12" s="29">
        <f>VLOOKUP($B12,'County Data'!$B$10:$L$46,6,FALSE)</f>
        <v>7.1640675699592926E-2</v>
      </c>
      <c r="E12" s="31">
        <f t="shared" si="0"/>
        <v>3779.0456431535267</v>
      </c>
      <c r="F12" s="6">
        <f t="shared" si="1"/>
        <v>5.7226819710593981E-3</v>
      </c>
      <c r="G12" s="14">
        <f t="shared" si="2"/>
        <v>13257.546566287605</v>
      </c>
      <c r="H12" s="10">
        <f t="shared" si="3"/>
        <v>0.2513278969912342</v>
      </c>
    </row>
    <row r="13" spans="2:8" x14ac:dyDescent="0.45">
      <c r="B13" s="20" t="str">
        <f>+'County Data'!$B$19</f>
        <v>Douglas</v>
      </c>
      <c r="C13" s="15">
        <f>VLOOKUP($B13,'County Data'!$B$10:$L$46,2,FALSE)</f>
        <v>112250</v>
      </c>
      <c r="D13" s="29">
        <f>VLOOKUP($B13,'County Data'!$B$10:$L$46,6,FALSE)</f>
        <v>7.483175318261126E-2</v>
      </c>
      <c r="E13" s="31">
        <f t="shared" si="0"/>
        <v>8399.8642947481148</v>
      </c>
      <c r="F13" s="6">
        <f t="shared" si="1"/>
        <v>1.2720077103590499E-2</v>
      </c>
      <c r="G13" s="14">
        <f t="shared" si="2"/>
        <v>29468.178623317988</v>
      </c>
      <c r="H13" s="10">
        <f t="shared" si="3"/>
        <v>0.26252274942822262</v>
      </c>
    </row>
    <row r="14" spans="2:8" x14ac:dyDescent="0.45">
      <c r="B14" s="20" t="str">
        <f>+'County Data'!$B$16</f>
        <v>Crook</v>
      </c>
      <c r="C14" s="15">
        <f>VLOOKUP($B14,'County Data'!$B$10:$L$46,2,FALSE)</f>
        <v>23440</v>
      </c>
      <c r="D14" s="29">
        <f>VLOOKUP($B14,'County Data'!$B$10:$L$46,6,FALSE)</f>
        <v>7.2167256122129209E-2</v>
      </c>
      <c r="E14" s="31">
        <f t="shared" si="0"/>
        <v>1691.6004835027086</v>
      </c>
      <c r="F14" s="6">
        <f t="shared" si="1"/>
        <v>2.5616233576629057E-3</v>
      </c>
      <c r="G14" s="14">
        <f t="shared" si="2"/>
        <v>5934.4274452523978</v>
      </c>
      <c r="H14" s="10">
        <f t="shared" si="3"/>
        <v>0.25317523230598965</v>
      </c>
    </row>
    <row r="15" spans="2:8" x14ac:dyDescent="0.45">
      <c r="B15" s="20" t="str">
        <f>+'County Data'!$B$18</f>
        <v>Deschutes</v>
      </c>
      <c r="C15" s="15">
        <f>VLOOKUP($B15,'County Data'!$B$10:$L$46,2,FALSE)</f>
        <v>193000</v>
      </c>
      <c r="D15" s="29">
        <f>VLOOKUP($B15,'County Data'!$B$10:$L$46,6,FALSE)</f>
        <v>6.5085252435783877E-2</v>
      </c>
      <c r="E15" s="31">
        <f t="shared" si="0"/>
        <v>12561.453720106289</v>
      </c>
      <c r="F15" s="6">
        <f t="shared" si="1"/>
        <v>1.9022052529210184E-2</v>
      </c>
      <c r="G15" s="14">
        <f t="shared" si="2"/>
        <v>44067.755026003586</v>
      </c>
      <c r="H15" s="10">
        <f t="shared" si="3"/>
        <v>0.22833033692229837</v>
      </c>
    </row>
    <row r="16" spans="2:8" x14ac:dyDescent="0.45">
      <c r="B16" s="20" t="str">
        <f>+'County Data'!$B$26</f>
        <v>Josephine</v>
      </c>
      <c r="C16" s="15">
        <f>VLOOKUP($B16,'County Data'!$B$10:$L$46,2,FALSE)</f>
        <v>86750</v>
      </c>
      <c r="D16" s="29">
        <f>VLOOKUP($B16,'County Data'!$B$10:$L$46,6,FALSE)</f>
        <v>7.9491348954738486E-2</v>
      </c>
      <c r="E16" s="31">
        <f t="shared" si="0"/>
        <v>6895.8745218235636</v>
      </c>
      <c r="F16" s="6">
        <f t="shared" si="1"/>
        <v>1.0442556276667956E-2</v>
      </c>
      <c r="G16" s="14">
        <f t="shared" si="2"/>
        <v>24191.922040947429</v>
      </c>
      <c r="H16" s="10">
        <f t="shared" si="3"/>
        <v>0.27886941833945161</v>
      </c>
    </row>
    <row r="17" spans="2:8" x14ac:dyDescent="0.45">
      <c r="B17" s="20" t="str">
        <f>+'County Data'!$B$17</f>
        <v>Curry</v>
      </c>
      <c r="C17" s="15">
        <f>VLOOKUP($B17,'County Data'!$B$10:$L$46,2,FALSE)</f>
        <v>23000</v>
      </c>
      <c r="D17" s="29">
        <f>VLOOKUP($B17,'County Data'!$B$10:$L$46,6,FALSE)</f>
        <v>9.2726707246634385E-2</v>
      </c>
      <c r="E17" s="31">
        <f t="shared" si="0"/>
        <v>2132.7142666725908</v>
      </c>
      <c r="F17" s="6">
        <f t="shared" si="1"/>
        <v>3.2296104984653579E-3</v>
      </c>
      <c r="G17" s="14">
        <f t="shared" si="2"/>
        <v>7481.9309881114123</v>
      </c>
      <c r="H17" s="10">
        <f t="shared" si="3"/>
        <v>0.32530134730919186</v>
      </c>
    </row>
    <row r="18" spans="2:8" x14ac:dyDescent="0.45">
      <c r="B18" s="20" t="str">
        <f>+'County Data'!$B$22</f>
        <v>Harney</v>
      </c>
      <c r="C18" s="15">
        <f>VLOOKUP($B18,'County Data'!$B$10:$L$46,2,FALSE)</f>
        <v>7360</v>
      </c>
      <c r="D18" s="29">
        <f>VLOOKUP($B18,'County Data'!$B$10:$L$46,6,FALSE)</f>
        <v>9.0896513558384059E-2</v>
      </c>
      <c r="E18" s="31">
        <f t="shared" si="0"/>
        <v>668.99833978970673</v>
      </c>
      <c r="F18" s="6">
        <f t="shared" si="1"/>
        <v>1.0130771362127445E-3</v>
      </c>
      <c r="G18" s="14">
        <f t="shared" si="2"/>
        <v>2346.9620322261912</v>
      </c>
      <c r="H18" s="10">
        <f t="shared" si="3"/>
        <v>0.31888071090029774</v>
      </c>
    </row>
    <row r="19" spans="2:8" x14ac:dyDescent="0.45">
      <c r="B19" s="20" t="str">
        <f>+'County Data'!$B$13</f>
        <v>Clatsop</v>
      </c>
      <c r="C19" s="15">
        <f>VLOOKUP($B19,'County Data'!$B$10:$L$46,2,FALSE)</f>
        <v>39330</v>
      </c>
      <c r="D19" s="29">
        <f>VLOOKUP($B19,'County Data'!$B$10:$L$46,6,FALSE)</f>
        <v>8.7962242622270634E-2</v>
      </c>
      <c r="E19" s="31">
        <f t="shared" si="0"/>
        <v>3459.5550023339042</v>
      </c>
      <c r="F19" s="6">
        <f t="shared" si="1"/>
        <v>5.2388711090622523E-3</v>
      </c>
      <c r="G19" s="14">
        <f t="shared" si="2"/>
        <v>12136.71806932755</v>
      </c>
      <c r="H19" s="10">
        <f t="shared" si="3"/>
        <v>0.30858678030326847</v>
      </c>
    </row>
    <row r="20" spans="2:8" x14ac:dyDescent="0.45">
      <c r="B20" s="20" t="str">
        <f>+'County Data'!$B$31</f>
        <v>Linn</v>
      </c>
      <c r="C20" s="15">
        <f>VLOOKUP($B20,'County Data'!$B$10:$L$46,2,FALSE)</f>
        <v>126550</v>
      </c>
      <c r="D20" s="29">
        <f>VLOOKUP($B20,'County Data'!$B$10:$L$46,6,FALSE)</f>
        <v>9.5881826320501337E-2</v>
      </c>
      <c r="E20" s="31">
        <f t="shared" si="0"/>
        <v>12133.845120859443</v>
      </c>
      <c r="F20" s="6">
        <f t="shared" si="1"/>
        <v>1.8374516549851685E-2</v>
      </c>
      <c r="G20" s="14">
        <f t="shared" si="2"/>
        <v>42567.630007156404</v>
      </c>
      <c r="H20" s="10">
        <f t="shared" si="3"/>
        <v>0.3363700514196476</v>
      </c>
    </row>
    <row r="21" spans="2:8" x14ac:dyDescent="0.45">
      <c r="B21" s="20" t="str">
        <f>+'County Data'!$B$15</f>
        <v>Coos</v>
      </c>
      <c r="C21" s="15">
        <f>VLOOKUP($B21,'County Data'!$B$10:$L$46,2,FALSE)</f>
        <v>63290</v>
      </c>
      <c r="D21" s="29">
        <f>VLOOKUP($B21,'County Data'!$B$10:$L$46,6,FALSE)</f>
        <v>0.11684147343147785</v>
      </c>
      <c r="E21" s="31">
        <f t="shared" si="0"/>
        <v>7394.8968534782334</v>
      </c>
      <c r="F21" s="6">
        <f t="shared" si="1"/>
        <v>1.1198235453417235E-2</v>
      </c>
      <c r="G21" s="14">
        <f t="shared" si="2"/>
        <v>25942.578800416592</v>
      </c>
      <c r="H21" s="10">
        <f t="shared" si="3"/>
        <v>0.40990012324880065</v>
      </c>
    </row>
    <row r="22" spans="2:8" x14ac:dyDescent="0.45">
      <c r="B22" s="20" t="str">
        <f>+'County Data'!$B$28</f>
        <v>Lake</v>
      </c>
      <c r="C22" s="15">
        <f>VLOOKUP($B22,'County Data'!$B$10:$L$46,2,FALSE)</f>
        <v>8080</v>
      </c>
      <c r="D22" s="29">
        <f>VLOOKUP($B22,'County Data'!$B$10:$L$46,6,FALSE)</f>
        <v>8.9506566364911389E-2</v>
      </c>
      <c r="E22" s="31">
        <f t="shared" si="0"/>
        <v>723.21305622848399</v>
      </c>
      <c r="F22" s="6">
        <f t="shared" si="1"/>
        <v>1.0951755307882036E-3</v>
      </c>
      <c r="G22" s="14">
        <f t="shared" si="2"/>
        <v>2537.1566463260051</v>
      </c>
      <c r="H22" s="10">
        <f t="shared" si="3"/>
        <v>0.31400453543638679</v>
      </c>
    </row>
    <row r="23" spans="2:8" x14ac:dyDescent="0.45">
      <c r="B23" s="20" t="str">
        <f>+'County Data'!$B$39</f>
        <v>Tillamook</v>
      </c>
      <c r="C23" s="15">
        <f>VLOOKUP($B23,'County Data'!$B$10:$L$46,2,FALSE)</f>
        <v>26500</v>
      </c>
      <c r="D23" s="29">
        <f>VLOOKUP($B23,'County Data'!$B$10:$L$46,6,FALSE)</f>
        <v>7.5088203712225798E-2</v>
      </c>
      <c r="E23" s="31">
        <f t="shared" si="0"/>
        <v>1989.8373983739837</v>
      </c>
      <c r="F23" s="6">
        <f t="shared" si="1"/>
        <v>3.0132492910332175E-3</v>
      </c>
      <c r="G23" s="14">
        <f t="shared" si="2"/>
        <v>6980.6941908936196</v>
      </c>
      <c r="H23" s="10">
        <f t="shared" si="3"/>
        <v>0.26342242229787244</v>
      </c>
    </row>
    <row r="24" spans="2:8" x14ac:dyDescent="0.45">
      <c r="B24" s="20" t="str">
        <f>+'County Data'!$B$12</f>
        <v>Clackamas</v>
      </c>
      <c r="C24" s="15">
        <f>VLOOKUP($B24,'County Data'!$B$10:$L$46,2,FALSE)</f>
        <v>423420</v>
      </c>
      <c r="D24" s="29">
        <f>VLOOKUP($B24,'County Data'!$B$10:$L$46,6,FALSE)</f>
        <v>0.11963882618510158</v>
      </c>
      <c r="E24" s="31">
        <f t="shared" si="0"/>
        <v>50657.47178329571</v>
      </c>
      <c r="F24" s="6">
        <f t="shared" si="1"/>
        <v>7.6711590133588456E-2</v>
      </c>
      <c r="G24" s="14">
        <f t="shared" si="2"/>
        <v>177715.1838094799</v>
      </c>
      <c r="H24" s="10">
        <f t="shared" si="3"/>
        <v>0.41971372115034694</v>
      </c>
    </row>
    <row r="25" spans="2:8" x14ac:dyDescent="0.45">
      <c r="B25" s="20" t="str">
        <f>+'County Data'!$B$29</f>
        <v>Lane</v>
      </c>
      <c r="C25" s="15">
        <f>VLOOKUP($B25,'County Data'!$B$10:$L$46,2,FALSE)</f>
        <v>378880</v>
      </c>
      <c r="D25" s="29">
        <f>VLOOKUP($B25,'County Data'!$B$10:$L$46,6,FALSE)</f>
        <v>0.1300198979619499</v>
      </c>
      <c r="E25" s="31">
        <f t="shared" si="0"/>
        <v>49261.93893982358</v>
      </c>
      <c r="F25" s="6">
        <f t="shared" si="1"/>
        <v>7.4598307734412436E-2</v>
      </c>
      <c r="G25" s="14">
        <f t="shared" si="2"/>
        <v>172819.41291805546</v>
      </c>
      <c r="H25" s="10">
        <f t="shared" si="3"/>
        <v>0.45613231872375282</v>
      </c>
    </row>
    <row r="26" spans="2:8" x14ac:dyDescent="0.45">
      <c r="B26" s="20" t="str">
        <f>+'County Data'!$B$30</f>
        <v>Lincoln</v>
      </c>
      <c r="C26" s="15">
        <f>VLOOKUP($B26,'County Data'!$B$10:$L$46,2,FALSE)</f>
        <v>48260</v>
      </c>
      <c r="D26" s="29">
        <f>VLOOKUP($B26,'County Data'!$B$10:$L$46,6,FALSE)</f>
        <v>0.11814707295169274</v>
      </c>
      <c r="E26" s="31">
        <f t="shared" si="0"/>
        <v>5701.7777406486921</v>
      </c>
      <c r="F26" s="6">
        <f t="shared" si="1"/>
        <v>8.6343124059675355E-3</v>
      </c>
      <c r="G26" s="14">
        <f t="shared" si="2"/>
        <v>20002.823740491454</v>
      </c>
      <c r="H26" s="10">
        <f t="shared" si="3"/>
        <v>0.41448039246770524</v>
      </c>
    </row>
    <row r="27" spans="2:8" x14ac:dyDescent="0.45">
      <c r="B27" s="20" t="str">
        <f>+'County Data'!$B$24</f>
        <v>Jackson</v>
      </c>
      <c r="C27" s="15">
        <f>VLOOKUP($B27,'County Data'!$B$10:$L$46,2,FALSE)</f>
        <v>221290</v>
      </c>
      <c r="D27" s="29">
        <f>VLOOKUP($B27,'County Data'!$B$10:$L$46,6,FALSE)</f>
        <v>8.6331539621126913E-2</v>
      </c>
      <c r="E27" s="31">
        <f t="shared" si="0"/>
        <v>19104.306402759175</v>
      </c>
      <c r="F27" s="6">
        <f t="shared" si="1"/>
        <v>2.8930021001131113E-2</v>
      </c>
      <c r="G27" s="14">
        <f t="shared" si="2"/>
        <v>67021.215319287076</v>
      </c>
      <c r="H27" s="10">
        <f t="shared" si="3"/>
        <v>0.30286599177227652</v>
      </c>
    </row>
    <row r="28" spans="2:8" x14ac:dyDescent="0.45">
      <c r="B28" s="20" t="str">
        <f>+'County Data'!$B$11</f>
        <v>Benton</v>
      </c>
      <c r="C28" s="15">
        <f>VLOOKUP($B28,'County Data'!$B$10:$L$46,2,FALSE)</f>
        <v>94360</v>
      </c>
      <c r="D28" s="29">
        <f>VLOOKUP($B28,'County Data'!$B$10:$L$46,6,FALSE)</f>
        <v>0.14361773223435065</v>
      </c>
      <c r="E28" s="31">
        <f t="shared" si="0"/>
        <v>13551.769213633328</v>
      </c>
      <c r="F28" s="6">
        <f t="shared" si="1"/>
        <v>2.0521706451288452E-2</v>
      </c>
      <c r="G28" s="14">
        <f t="shared" si="2"/>
        <v>47541.953278818241</v>
      </c>
      <c r="H28" s="10">
        <f t="shared" si="3"/>
        <v>0.50383587620621284</v>
      </c>
    </row>
    <row r="29" spans="2:8" x14ac:dyDescent="0.45">
      <c r="B29" s="20" t="str">
        <f>+'County Data'!$B$27</f>
        <v>Klamath</v>
      </c>
      <c r="C29" s="15">
        <f>VLOOKUP($B29,'County Data'!$B$10:$L$46,2,FALSE)</f>
        <v>68190</v>
      </c>
      <c r="D29" s="29">
        <f>VLOOKUP($B29,'County Data'!$B$10:$L$46,6,FALSE)</f>
        <v>0.12005730659025787</v>
      </c>
      <c r="E29" s="31">
        <f t="shared" si="0"/>
        <v>8186.7077363896842</v>
      </c>
      <c r="F29" s="6">
        <f t="shared" si="1"/>
        <v>1.2397290001047608E-2</v>
      </c>
      <c r="G29" s="14">
        <f t="shared" si="2"/>
        <v>28720.388502426958</v>
      </c>
      <c r="H29" s="10">
        <f t="shared" si="3"/>
        <v>0.42118182288351602</v>
      </c>
    </row>
    <row r="30" spans="2:8" x14ac:dyDescent="0.45">
      <c r="B30" s="20" t="str">
        <f>+'County Data'!$B$37</f>
        <v>Polk</v>
      </c>
      <c r="C30" s="15">
        <f>VLOOKUP($B30,'County Data'!$B$10:$L$46,2,FALSE)</f>
        <v>82940</v>
      </c>
      <c r="D30" s="29">
        <f>VLOOKUP($B30,'County Data'!$B$10:$L$46,6,FALSE)</f>
        <v>0.12019354759477814</v>
      </c>
      <c r="E30" s="31">
        <f t="shared" si="0"/>
        <v>9968.8528375108999</v>
      </c>
      <c r="F30" s="6">
        <f t="shared" si="1"/>
        <v>1.5096026825905768E-2</v>
      </c>
      <c r="G30" s="14">
        <f t="shared" si="2"/>
        <v>34972.46214668169</v>
      </c>
      <c r="H30" s="10">
        <f t="shared" si="3"/>
        <v>0.42165977992140935</v>
      </c>
    </row>
    <row r="31" spans="2:8" x14ac:dyDescent="0.45">
      <c r="B31" s="20" t="str">
        <f>+'County Data'!$B$46</f>
        <v>Yamhill</v>
      </c>
      <c r="C31" s="15">
        <f>VLOOKUP($B31,'County Data'!$B$10:$L$46,2,FALSE)</f>
        <v>108060</v>
      </c>
      <c r="D31" s="29">
        <f>VLOOKUP($B31,'County Data'!$B$10:$L$46,6,FALSE)</f>
        <v>0.11686572914659989</v>
      </c>
      <c r="E31" s="31">
        <f t="shared" si="0"/>
        <v>12628.510691581583</v>
      </c>
      <c r="F31" s="6">
        <f t="shared" si="1"/>
        <v>1.9123598199183963E-2</v>
      </c>
      <c r="G31" s="14">
        <f t="shared" si="2"/>
        <v>44303.002494776178</v>
      </c>
      <c r="H31" s="10">
        <f t="shared" si="3"/>
        <v>0.40998521649802128</v>
      </c>
    </row>
    <row r="32" spans="2:8" x14ac:dyDescent="0.45">
      <c r="B32" s="20" t="str">
        <f>+'County Data'!$B$36</f>
        <v>Gilliam, Sherman, Wasco</v>
      </c>
      <c r="C32" s="15">
        <f>VLOOKUP($B32,'County Data'!$B$10:$L$46,2,FALSE)</f>
        <v>31000</v>
      </c>
      <c r="D32" s="29">
        <f>VLOOKUP($B32,'County Data'!$B$10:$L$46,6,FALSE)</f>
        <v>0.11961331608686772</v>
      </c>
      <c r="E32" s="31">
        <f t="shared" si="0"/>
        <v>3708.0127986928992</v>
      </c>
      <c r="F32" s="6">
        <f t="shared" si="1"/>
        <v>5.6151155596601736E-3</v>
      </c>
      <c r="G32" s="14">
        <f t="shared" si="2"/>
        <v>13008.351046546068</v>
      </c>
      <c r="H32" s="10">
        <f t="shared" si="3"/>
        <v>0.41962422730793769</v>
      </c>
    </row>
    <row r="33" spans="2:8" x14ac:dyDescent="0.45">
      <c r="B33" s="20" t="str">
        <f>+'County Data'!$B$35</f>
        <v>Multnomah</v>
      </c>
      <c r="C33" s="15">
        <f>VLOOKUP($B33,'County Data'!$B$10:$L$46,2,FALSE)</f>
        <v>821730</v>
      </c>
      <c r="D33" s="29">
        <f>VLOOKUP($B33,'County Data'!$B$10:$L$46,6,FALSE)</f>
        <v>0.22188526345181289</v>
      </c>
      <c r="E33" s="31">
        <f t="shared" si="0"/>
        <v>182329.77753625822</v>
      </c>
      <c r="F33" s="6">
        <f t="shared" si="1"/>
        <v>0.27610551160829844</v>
      </c>
      <c r="G33" s="14">
        <f t="shared" si="2"/>
        <v>639644.4352258913</v>
      </c>
      <c r="H33" s="10">
        <f t="shared" si="3"/>
        <v>0.77841192998416908</v>
      </c>
    </row>
    <row r="34" spans="2:8" x14ac:dyDescent="0.45">
      <c r="B34" s="20" t="str">
        <f>+'County Data'!$B$44</f>
        <v>Washington</v>
      </c>
      <c r="C34" s="15">
        <f>VLOOKUP($B34,'County Data'!$B$10:$L$46,2,FALSE)</f>
        <v>613410</v>
      </c>
      <c r="D34" s="29">
        <f>VLOOKUP($B34,'County Data'!$B$10:$L$46,6,FALSE)</f>
        <v>0.2386094692353834</v>
      </c>
      <c r="E34" s="31">
        <f t="shared" si="0"/>
        <v>146365.43452367652</v>
      </c>
      <c r="F34" s="6">
        <f t="shared" si="1"/>
        <v>0.22164401079738166</v>
      </c>
      <c r="G34" s="14">
        <f t="shared" si="2"/>
        <v>513475.29168060084</v>
      </c>
      <c r="H34" s="10">
        <f t="shared" si="3"/>
        <v>0.83708334014867847</v>
      </c>
    </row>
    <row r="35" spans="2:8" x14ac:dyDescent="0.45">
      <c r="B35" s="20" t="str">
        <f>+'County Data'!$B$40</f>
        <v>Umatilla</v>
      </c>
      <c r="C35" s="15">
        <f>VLOOKUP($B35,'County Data'!$B$10:$L$46,2,FALSE)</f>
        <v>81160</v>
      </c>
      <c r="D35" s="29">
        <f>VLOOKUP($B35,'County Data'!$B$10:$L$46,6,FALSE)</f>
        <v>0.14515331998231423</v>
      </c>
      <c r="E35" s="31">
        <f t="shared" si="0"/>
        <v>11780.643449764622</v>
      </c>
      <c r="F35" s="6">
        <f t="shared" si="1"/>
        <v>1.7839656422140793E-2</v>
      </c>
      <c r="G35" s="14">
        <f t="shared" si="2"/>
        <v>41328.537377959503</v>
      </c>
      <c r="H35" s="10">
        <f t="shared" si="3"/>
        <v>0.50922298395711563</v>
      </c>
    </row>
    <row r="36" spans="2:8" x14ac:dyDescent="0.45">
      <c r="B36" s="20" t="str">
        <f>+'County Data'!$B$33</f>
        <v>Marion</v>
      </c>
      <c r="C36" s="15">
        <f>VLOOKUP($B36,'County Data'!$B$10:$L$46,2,FALSE)</f>
        <v>347760</v>
      </c>
      <c r="D36" s="29">
        <f>VLOOKUP($B36,'County Data'!$B$10:$L$46,6,FALSE)</f>
        <v>0.18943058175608621</v>
      </c>
      <c r="E36" s="31">
        <f t="shared" si="0"/>
        <v>65876.379111496542</v>
      </c>
      <c r="F36" s="6">
        <f t="shared" si="1"/>
        <v>9.9757876103726037E-2</v>
      </c>
      <c r="G36" s="14">
        <f t="shared" si="2"/>
        <v>231105.7463069653</v>
      </c>
      <c r="H36" s="10">
        <f t="shared" si="3"/>
        <v>0.6645552861368913</v>
      </c>
    </row>
    <row r="37" spans="2:8" x14ac:dyDescent="0.45">
      <c r="B37" s="20" t="str">
        <f>+'County Data'!$B$23</f>
        <v>Hood River</v>
      </c>
      <c r="C37" s="15">
        <f>VLOOKUP($B37,'County Data'!$B$10:$L$46,2,FALSE)</f>
        <v>25480</v>
      </c>
      <c r="D37" s="29">
        <f>VLOOKUP($B37,'County Data'!$B$10:$L$46,6,FALSE)</f>
        <v>0.13401928148372313</v>
      </c>
      <c r="E37" s="31">
        <f t="shared" si="0"/>
        <v>3414.8112922052655</v>
      </c>
      <c r="F37" s="6">
        <f t="shared" si="1"/>
        <v>5.1711148426791349E-3</v>
      </c>
      <c r="G37" s="14">
        <f t="shared" si="2"/>
        <v>11979.749385539995</v>
      </c>
      <c r="H37" s="10">
        <f t="shared" si="3"/>
        <v>0.47016284872605946</v>
      </c>
    </row>
    <row r="38" spans="2:8" x14ac:dyDescent="0.45">
      <c r="B38" s="20" t="str">
        <f>+'County Data'!$B$32</f>
        <v>Malheur</v>
      </c>
      <c r="C38" s="15">
        <f>VLOOKUP($B38,'County Data'!$B$10:$L$46,2,FALSE)</f>
        <v>32030</v>
      </c>
      <c r="D38" s="29">
        <f>VLOOKUP($B38,'County Data'!$B$10:$L$46,6,FALSE)</f>
        <v>0.10926357990207354</v>
      </c>
      <c r="E38" s="31">
        <f t="shared" si="0"/>
        <v>3499.7124642634153</v>
      </c>
      <c r="F38" s="6">
        <f t="shared" si="1"/>
        <v>5.2996823310182128E-3</v>
      </c>
      <c r="G38" s="14">
        <f t="shared" si="2"/>
        <v>12277.597400192193</v>
      </c>
      <c r="H38" s="10">
        <f t="shared" si="3"/>
        <v>0.38331556041811404</v>
      </c>
    </row>
    <row r="39" spans="2:8" x14ac:dyDescent="0.45">
      <c r="B39" s="20" t="str">
        <f>+'County Data'!$B$34</f>
        <v>Morrow</v>
      </c>
      <c r="C39" s="15">
        <f>VLOOKUP($B39,'County Data'!$B$10:$L$46,2,FALSE)</f>
        <v>12680</v>
      </c>
      <c r="D39" s="29">
        <f>VLOOKUP($B39,'County Data'!$B$10:$L$46,6,FALSE)</f>
        <v>0.11404369148461882</v>
      </c>
      <c r="E39" s="31">
        <f t="shared" si="0"/>
        <v>1446.0740080249666</v>
      </c>
      <c r="F39" s="6">
        <f t="shared" si="1"/>
        <v>2.1898178630190956E-3</v>
      </c>
      <c r="G39" s="14">
        <f t="shared" si="2"/>
        <v>5073.0780493275706</v>
      </c>
      <c r="H39" s="10">
        <f t="shared" si="3"/>
        <v>0.4000850196630576</v>
      </c>
    </row>
    <row r="40" spans="2:8" x14ac:dyDescent="0.45">
      <c r="B40" s="20" t="str">
        <f>+'County Data'!$B$25</f>
        <v>Jefferson</v>
      </c>
      <c r="C40" s="15">
        <f>VLOOKUP($B40,'County Data'!$B$10:$L$46,2,FALSE)</f>
        <v>23840</v>
      </c>
      <c r="D40" s="29">
        <f>VLOOKUP($B40,'County Data'!$B$10:$L$46,6,FALSE)</f>
        <v>0.28928833772631035</v>
      </c>
      <c r="E40" s="31">
        <f t="shared" si="0"/>
        <v>6896.6339713952384</v>
      </c>
      <c r="F40" s="6">
        <f t="shared" si="1"/>
        <v>1.0443706325855541E-2</v>
      </c>
      <c r="G40" s="14">
        <f t="shared" si="2"/>
        <v>24194.586321565333</v>
      </c>
      <c r="H40" s="10">
        <f t="shared" si="3"/>
        <v>1.014873587313982</v>
      </c>
    </row>
    <row r="41" spans="2:8" x14ac:dyDescent="0.45">
      <c r="B41" s="4" t="s">
        <v>2</v>
      </c>
      <c r="C41" s="5">
        <f>SUM(C7:C40)</f>
        <v>4236400</v>
      </c>
      <c r="D41" s="5"/>
      <c r="E41" s="5">
        <f>SUM(E7:E40)</f>
        <v>660362.68698222621</v>
      </c>
      <c r="F41" s="8">
        <f>SUM(F7:F40)</f>
        <v>1.0000000000000002</v>
      </c>
      <c r="G41" s="11">
        <f>SUM(G7:G40)</f>
        <v>2316666.6666666665</v>
      </c>
      <c r="H41" s="12">
        <f>G41/C41</f>
        <v>0.54684795266421171</v>
      </c>
    </row>
  </sheetData>
  <sortState xmlns:xlrd2="http://schemas.microsoft.com/office/spreadsheetml/2017/richdata2" ref="B7:H40">
    <sortCondition ref="D7:D40"/>
  </sortState>
  <pageMargins left="0.7" right="0.7" top="0.75" bottom="0.75" header="0.3" footer="0.3"/>
  <pageSetup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3:H41"/>
  <sheetViews>
    <sheetView workbookViewId="0"/>
  </sheetViews>
  <sheetFormatPr defaultRowHeight="14.25" x14ac:dyDescent="0.45"/>
  <cols>
    <col min="2" max="2" width="17.3984375" bestFit="1" customWidth="1"/>
    <col min="3" max="3" width="11.86328125" bestFit="1" customWidth="1"/>
    <col min="4" max="4" width="8" bestFit="1" customWidth="1"/>
    <col min="5" max="5" width="14.265625" bestFit="1" customWidth="1"/>
    <col min="6" max="6" width="9.73046875" bestFit="1" customWidth="1"/>
    <col min="7" max="7" width="14.1328125" customWidth="1"/>
    <col min="8" max="8" width="10" bestFit="1" customWidth="1"/>
  </cols>
  <sheetData>
    <row r="3" spans="2:8" x14ac:dyDescent="0.45">
      <c r="B3" t="s">
        <v>0</v>
      </c>
      <c r="C3" s="1">
        <f>'County Data'!C5</f>
        <v>17000000</v>
      </c>
    </row>
    <row r="4" spans="2:8" x14ac:dyDescent="0.45">
      <c r="B4" t="s">
        <v>41</v>
      </c>
      <c r="C4" s="14">
        <f>'County Data'!I9</f>
        <v>2316666.6666666665</v>
      </c>
      <c r="D4" s="9"/>
    </row>
    <row r="6" spans="2:8" s="2" customFormat="1" ht="28.5" x14ac:dyDescent="0.45">
      <c r="B6" s="3" t="s">
        <v>7</v>
      </c>
      <c r="C6" s="3" t="s">
        <v>1</v>
      </c>
      <c r="D6" s="3" t="s">
        <v>14</v>
      </c>
      <c r="E6" s="3" t="s">
        <v>33</v>
      </c>
      <c r="F6" s="3" t="s">
        <v>34</v>
      </c>
      <c r="G6" s="13" t="s">
        <v>13</v>
      </c>
      <c r="H6" s="3" t="s">
        <v>6</v>
      </c>
    </row>
    <row r="7" spans="2:8" x14ac:dyDescent="0.45">
      <c r="B7" s="20" t="str">
        <f>+'County Data'!$B$35</f>
        <v>Multnomah</v>
      </c>
      <c r="C7" s="15">
        <f>VLOOKUP($B7,'County Data'!$B$10:$L$46,2,FALSE)</f>
        <v>821730</v>
      </c>
      <c r="D7" s="29">
        <f>VLOOKUP($B7,'County Data'!$B$10:$L$46,8,FALSE)</f>
        <v>1.2999999999999999E-2</v>
      </c>
      <c r="E7" s="31">
        <f t="shared" ref="E7:E40" si="0">C7*D7</f>
        <v>10682.49</v>
      </c>
      <c r="F7" s="6">
        <f t="shared" ref="F7:F40" si="1">IF(E7=0,0,E7/$E$41)</f>
        <v>1.3540768252383272E-2</v>
      </c>
      <c r="G7" s="14">
        <f t="shared" ref="G7:G40" si="2">$C$4*F7</f>
        <v>31369.446451354579</v>
      </c>
      <c r="H7" s="10">
        <f t="shared" ref="H7:H40" si="3">G7/C7</f>
        <v>3.817488280987013E-2</v>
      </c>
    </row>
    <row r="8" spans="2:8" x14ac:dyDescent="0.45">
      <c r="B8" s="20" t="str">
        <f>+'County Data'!$B$44</f>
        <v>Washington</v>
      </c>
      <c r="C8" s="15">
        <f>VLOOKUP($B8,'County Data'!$B$10:$L$46,2,FALSE)</f>
        <v>613410</v>
      </c>
      <c r="D8" s="29">
        <f>VLOOKUP($B8,'County Data'!$B$10:$L$46,8,FALSE)</f>
        <v>5.6000000000000001E-2</v>
      </c>
      <c r="E8" s="31">
        <f t="shared" si="0"/>
        <v>34350.959999999999</v>
      </c>
      <c r="F8" s="6">
        <f t="shared" si="1"/>
        <v>4.3542131900604415E-2</v>
      </c>
      <c r="G8" s="14">
        <f t="shared" si="2"/>
        <v>100872.60556973355</v>
      </c>
      <c r="H8" s="10">
        <f t="shared" si="3"/>
        <v>0.16444564902713285</v>
      </c>
    </row>
    <row r="9" spans="2:8" x14ac:dyDescent="0.45">
      <c r="B9" s="20" t="str">
        <f>+'County Data'!$B$33</f>
        <v>Marion</v>
      </c>
      <c r="C9" s="15">
        <f>VLOOKUP($B9,'County Data'!$B$10:$L$46,2,FALSE)</f>
        <v>347760</v>
      </c>
      <c r="D9" s="29">
        <f>VLOOKUP($B9,'County Data'!$B$10:$L$46,8,FALSE)</f>
        <v>0.13100000000000001</v>
      </c>
      <c r="E9" s="31">
        <f t="shared" si="0"/>
        <v>45556.560000000005</v>
      </c>
      <c r="F9" s="6">
        <f t="shared" si="1"/>
        <v>5.7745976952545124E-2</v>
      </c>
      <c r="G9" s="14">
        <f t="shared" si="2"/>
        <v>133778.17994006287</v>
      </c>
      <c r="H9" s="10">
        <f t="shared" si="3"/>
        <v>0.38468535754561439</v>
      </c>
    </row>
    <row r="10" spans="2:8" x14ac:dyDescent="0.45">
      <c r="B10" s="20" t="str">
        <f>+'County Data'!$B$29</f>
        <v>Lane</v>
      </c>
      <c r="C10" s="15">
        <f>VLOOKUP($B10,'County Data'!$B$10:$L$46,2,FALSE)</f>
        <v>378880</v>
      </c>
      <c r="D10" s="29">
        <f>VLOOKUP($B10,'County Data'!$B$10:$L$46,8,FALSE)</f>
        <v>0.17499999999999999</v>
      </c>
      <c r="E10" s="31">
        <f t="shared" si="0"/>
        <v>66304</v>
      </c>
      <c r="F10" s="6">
        <f t="shared" si="1"/>
        <v>8.4044740337320276E-2</v>
      </c>
      <c r="G10" s="14">
        <f t="shared" si="2"/>
        <v>194703.64844812528</v>
      </c>
      <c r="H10" s="10">
        <f t="shared" si="3"/>
        <v>0.51389265320979016</v>
      </c>
    </row>
    <row r="11" spans="2:8" x14ac:dyDescent="0.45">
      <c r="B11" s="20" t="str">
        <f>+'County Data'!$B$12</f>
        <v>Clackamas</v>
      </c>
      <c r="C11" s="15">
        <f>VLOOKUP($B11,'County Data'!$B$10:$L$46,2,FALSE)</f>
        <v>423420</v>
      </c>
      <c r="D11" s="29">
        <f>VLOOKUP($B11,'County Data'!$B$10:$L$46,8,FALSE)</f>
        <v>0.18099999999999999</v>
      </c>
      <c r="E11" s="31">
        <f t="shared" si="0"/>
        <v>76639.02</v>
      </c>
      <c r="F11" s="6">
        <f t="shared" si="1"/>
        <v>9.7145067199666618E-2</v>
      </c>
      <c r="G11" s="14">
        <f t="shared" si="2"/>
        <v>225052.73901256098</v>
      </c>
      <c r="H11" s="10">
        <f t="shared" si="3"/>
        <v>0.53151182989126866</v>
      </c>
    </row>
    <row r="12" spans="2:8" x14ac:dyDescent="0.45">
      <c r="B12" s="20" t="str">
        <f>+'County Data'!$B$11</f>
        <v>Benton</v>
      </c>
      <c r="C12" s="15">
        <f>VLOOKUP($B12,'County Data'!$B$10:$L$46,2,FALSE)</f>
        <v>94360</v>
      </c>
      <c r="D12" s="29">
        <f>VLOOKUP($B12,'County Data'!$B$10:$L$46,8,FALSE)</f>
        <v>0.188</v>
      </c>
      <c r="E12" s="31">
        <f t="shared" si="0"/>
        <v>17739.68</v>
      </c>
      <c r="F12" s="6">
        <f t="shared" si="1"/>
        <v>2.2486227064236756E-2</v>
      </c>
      <c r="G12" s="14">
        <f t="shared" si="2"/>
        <v>52093.092698815148</v>
      </c>
      <c r="H12" s="10">
        <f t="shared" si="3"/>
        <v>0.5520675360196603</v>
      </c>
    </row>
    <row r="13" spans="2:8" x14ac:dyDescent="0.45">
      <c r="B13" s="20" t="str">
        <f>+'County Data'!$B$37</f>
        <v>Polk</v>
      </c>
      <c r="C13" s="15">
        <f>VLOOKUP($B13,'County Data'!$B$10:$L$46,2,FALSE)</f>
        <v>82940</v>
      </c>
      <c r="D13" s="29">
        <f>VLOOKUP($B13,'County Data'!$B$10:$L$46,8,FALSE)</f>
        <v>0.19900000000000001</v>
      </c>
      <c r="E13" s="31">
        <f t="shared" si="0"/>
        <v>16505.060000000001</v>
      </c>
      <c r="F13" s="6">
        <f t="shared" si="1"/>
        <v>2.0921263904921144E-2</v>
      </c>
      <c r="G13" s="14">
        <f t="shared" si="2"/>
        <v>48467.594713067316</v>
      </c>
      <c r="H13" s="10">
        <f t="shared" si="3"/>
        <v>0.58436935993570427</v>
      </c>
    </row>
    <row r="14" spans="2:8" x14ac:dyDescent="0.45">
      <c r="B14" s="20" t="str">
        <f>+'County Data'!$B$24</f>
        <v>Jackson</v>
      </c>
      <c r="C14" s="15">
        <f>VLOOKUP($B14,'County Data'!$B$10:$L$46,2,FALSE)</f>
        <v>221290</v>
      </c>
      <c r="D14" s="29">
        <f>VLOOKUP($B14,'County Data'!$B$10:$L$46,8,FALSE)</f>
        <v>0.20100000000000001</v>
      </c>
      <c r="E14" s="31">
        <f t="shared" si="0"/>
        <v>44479.29</v>
      </c>
      <c r="F14" s="6">
        <f t="shared" si="1"/>
        <v>5.6380465408397175E-2</v>
      </c>
      <c r="G14" s="14">
        <f t="shared" si="2"/>
        <v>130614.74486278679</v>
      </c>
      <c r="H14" s="10">
        <f t="shared" si="3"/>
        <v>0.59024241882953044</v>
      </c>
    </row>
    <row r="15" spans="2:8" x14ac:dyDescent="0.45">
      <c r="B15" s="20" t="str">
        <f>+'County Data'!$B$46</f>
        <v>Yamhill</v>
      </c>
      <c r="C15" s="15">
        <f>VLOOKUP($B15,'County Data'!$B$10:$L$46,2,FALSE)</f>
        <v>108060</v>
      </c>
      <c r="D15" s="29">
        <f>VLOOKUP($B15,'County Data'!$B$10:$L$46,8,FALSE)</f>
        <v>0.22600000000000001</v>
      </c>
      <c r="E15" s="31">
        <f t="shared" si="0"/>
        <v>24421.56</v>
      </c>
      <c r="F15" s="6">
        <f t="shared" si="1"/>
        <v>3.0955955430023642E-2</v>
      </c>
      <c r="G15" s="14">
        <f t="shared" si="2"/>
        <v>71714.630079554772</v>
      </c>
      <c r="H15" s="10">
        <f t="shared" si="3"/>
        <v>0.66365565500235768</v>
      </c>
    </row>
    <row r="16" spans="2:8" x14ac:dyDescent="0.45">
      <c r="B16" s="20" t="str">
        <f>+'County Data'!$B$18</f>
        <v>Deschutes</v>
      </c>
      <c r="C16" s="15">
        <f>VLOOKUP($B16,'County Data'!$B$10:$L$46,2,FALSE)</f>
        <v>193000</v>
      </c>
      <c r="D16" s="29">
        <f>VLOOKUP($B16,'County Data'!$B$10:$L$46,8,FALSE)</f>
        <v>0.27600000000000002</v>
      </c>
      <c r="E16" s="31">
        <f t="shared" si="0"/>
        <v>53268.000000000007</v>
      </c>
      <c r="F16" s="6">
        <f t="shared" si="1"/>
        <v>6.752074125676244E-2</v>
      </c>
      <c r="G16" s="14">
        <f t="shared" si="2"/>
        <v>156423.05057816629</v>
      </c>
      <c r="H16" s="10">
        <f t="shared" si="3"/>
        <v>0.81048212734801184</v>
      </c>
    </row>
    <row r="17" spans="2:8" x14ac:dyDescent="0.45">
      <c r="B17" s="20" t="str">
        <f>+'County Data'!$B$40</f>
        <v>Umatilla</v>
      </c>
      <c r="C17" s="15">
        <f>VLOOKUP($B17,'County Data'!$B$10:$L$46,2,FALSE)</f>
        <v>81160</v>
      </c>
      <c r="D17" s="29">
        <f>VLOOKUP($B17,'County Data'!$B$10:$L$46,8,FALSE)</f>
        <v>0.29099999999999998</v>
      </c>
      <c r="E17" s="31">
        <f t="shared" si="0"/>
        <v>23617.559999999998</v>
      </c>
      <c r="F17" s="6">
        <f t="shared" si="1"/>
        <v>2.9936831829166892E-2</v>
      </c>
      <c r="G17" s="14">
        <f t="shared" si="2"/>
        <v>69353.660404236623</v>
      </c>
      <c r="H17" s="10">
        <f t="shared" si="3"/>
        <v>0.85453006905170803</v>
      </c>
    </row>
    <row r="18" spans="2:8" x14ac:dyDescent="0.45">
      <c r="B18" s="20" t="str">
        <f>+'County Data'!$B$31</f>
        <v>Linn</v>
      </c>
      <c r="C18" s="15">
        <f>VLOOKUP($B18,'County Data'!$B$10:$L$46,2,FALSE)</f>
        <v>126550</v>
      </c>
      <c r="D18" s="29">
        <f>VLOOKUP($B18,'County Data'!$B$10:$L$46,8,FALSE)</f>
        <v>0.316</v>
      </c>
      <c r="E18" s="31">
        <f t="shared" si="0"/>
        <v>39989.800000000003</v>
      </c>
      <c r="F18" s="6">
        <f t="shared" si="1"/>
        <v>5.0689737529279841E-2</v>
      </c>
      <c r="G18" s="14">
        <f t="shared" si="2"/>
        <v>117431.22527616496</v>
      </c>
      <c r="H18" s="10">
        <f t="shared" si="3"/>
        <v>0.92794330522453539</v>
      </c>
    </row>
    <row r="19" spans="2:8" x14ac:dyDescent="0.45">
      <c r="B19" s="20" t="str">
        <f>+'County Data'!$B$27</f>
        <v>Klamath</v>
      </c>
      <c r="C19" s="15">
        <f>VLOOKUP($B19,'County Data'!$B$10:$L$46,2,FALSE)</f>
        <v>68190</v>
      </c>
      <c r="D19" s="29">
        <f>VLOOKUP($B19,'County Data'!$B$10:$L$46,8,FALSE)</f>
        <v>0.376</v>
      </c>
      <c r="E19" s="31">
        <f t="shared" si="0"/>
        <v>25639.439999999999</v>
      </c>
      <c r="F19" s="6">
        <f t="shared" si="1"/>
        <v>3.2499699523321414E-2</v>
      </c>
      <c r="G19" s="14">
        <f t="shared" si="2"/>
        <v>75290.970562361268</v>
      </c>
      <c r="H19" s="10">
        <f t="shared" si="3"/>
        <v>1.1041350720393206</v>
      </c>
    </row>
    <row r="20" spans="2:8" x14ac:dyDescent="0.45">
      <c r="B20" s="20" t="str">
        <f>+'County Data'!$B$30</f>
        <v>Lincoln</v>
      </c>
      <c r="C20" s="15">
        <f>VLOOKUP($B20,'County Data'!$B$10:$L$46,2,FALSE)</f>
        <v>48260</v>
      </c>
      <c r="D20" s="29">
        <f>VLOOKUP($B20,'County Data'!$B$10:$L$46,8,FALSE)</f>
        <v>0.376</v>
      </c>
      <c r="E20" s="31">
        <f t="shared" si="0"/>
        <v>18145.759999999998</v>
      </c>
      <c r="F20" s="6">
        <f t="shared" si="1"/>
        <v>2.300096053666947E-2</v>
      </c>
      <c r="G20" s="14">
        <f t="shared" si="2"/>
        <v>53285.558576617601</v>
      </c>
      <c r="H20" s="10">
        <f t="shared" si="3"/>
        <v>1.1041350720393204</v>
      </c>
    </row>
    <row r="21" spans="2:8" x14ac:dyDescent="0.45">
      <c r="B21" s="20" t="str">
        <f>+'County Data'!$B$15</f>
        <v>Coos</v>
      </c>
      <c r="C21" s="15">
        <f>VLOOKUP($B21,'County Data'!$B$10:$L$46,2,FALSE)</f>
        <v>63290</v>
      </c>
      <c r="D21" s="29">
        <f>VLOOKUP($B21,'County Data'!$B$10:$L$46,8,FALSE)</f>
        <v>0.38400000000000001</v>
      </c>
      <c r="E21" s="31">
        <f t="shared" si="0"/>
        <v>24303.360000000001</v>
      </c>
      <c r="F21" s="6">
        <f t="shared" si="1"/>
        <v>3.0806129049897685E-2</v>
      </c>
      <c r="G21" s="14">
        <f t="shared" si="2"/>
        <v>71367.532298929626</v>
      </c>
      <c r="H21" s="10">
        <f t="shared" si="3"/>
        <v>1.127627307614625</v>
      </c>
    </row>
    <row r="22" spans="2:8" x14ac:dyDescent="0.45">
      <c r="B22" s="20" t="str">
        <f>+'County Data'!$B$17</f>
        <v>Curry</v>
      </c>
      <c r="C22" s="15">
        <f>VLOOKUP($B22,'County Data'!$B$10:$L$46,2,FALSE)</f>
        <v>23000</v>
      </c>
      <c r="D22" s="29">
        <f>VLOOKUP($B22,'County Data'!$B$10:$L$46,8,FALSE)</f>
        <v>0.38700000000000001</v>
      </c>
      <c r="E22" s="31">
        <f t="shared" si="0"/>
        <v>8901</v>
      </c>
      <c r="F22" s="6">
        <f t="shared" si="1"/>
        <v>1.1282610909484915E-2</v>
      </c>
      <c r="G22" s="14">
        <f t="shared" si="2"/>
        <v>26138.048606973385</v>
      </c>
      <c r="H22" s="10">
        <f t="shared" si="3"/>
        <v>1.1364368959553646</v>
      </c>
    </row>
    <row r="23" spans="2:8" x14ac:dyDescent="0.45">
      <c r="B23" s="20" t="str">
        <f>+'County Data'!$B$13</f>
        <v>Clatsop</v>
      </c>
      <c r="C23" s="15">
        <f>VLOOKUP($B23,'County Data'!$B$10:$L$46,2,FALSE)</f>
        <v>39330</v>
      </c>
      <c r="D23" s="29">
        <f>VLOOKUP($B23,'County Data'!$B$10:$L$46,8,FALSE)</f>
        <v>0.39</v>
      </c>
      <c r="E23" s="31">
        <f t="shared" si="0"/>
        <v>15338.7</v>
      </c>
      <c r="F23" s="6">
        <f t="shared" si="1"/>
        <v>1.9442824846344936E-2</v>
      </c>
      <c r="G23" s="14">
        <f t="shared" si="2"/>
        <v>45042.544227365768</v>
      </c>
      <c r="H23" s="10">
        <f t="shared" si="3"/>
        <v>1.1452464842961039</v>
      </c>
    </row>
    <row r="24" spans="2:8" x14ac:dyDescent="0.45">
      <c r="B24" s="20" t="str">
        <f>+'County Data'!$B$10</f>
        <v>Baker</v>
      </c>
      <c r="C24" s="15">
        <f>VLOOKUP($B24,'County Data'!$B$10:$L$46,2,FALSE)</f>
        <v>16820</v>
      </c>
      <c r="D24" s="29">
        <f>VLOOKUP($B24,'County Data'!$B$10:$L$46,8,FALSE)</f>
        <v>0.41</v>
      </c>
      <c r="E24" s="31">
        <f t="shared" si="0"/>
        <v>6896.2</v>
      </c>
      <c r="F24" s="6">
        <f t="shared" si="1"/>
        <v>8.7413932540152638E-3</v>
      </c>
      <c r="G24" s="14">
        <f t="shared" si="2"/>
        <v>20250.894371802027</v>
      </c>
      <c r="H24" s="10">
        <f t="shared" si="3"/>
        <v>1.2039770732343655</v>
      </c>
    </row>
    <row r="25" spans="2:8" x14ac:dyDescent="0.45">
      <c r="B25" s="20" t="str">
        <f>+'County Data'!$B$19</f>
        <v>Douglas</v>
      </c>
      <c r="C25" s="15">
        <f>VLOOKUP($B25,'County Data'!$B$10:$L$46,2,FALSE)</f>
        <v>112250</v>
      </c>
      <c r="D25" s="29">
        <f>VLOOKUP($B25,'County Data'!$B$10:$L$46,8,FALSE)</f>
        <v>0.41199999999999998</v>
      </c>
      <c r="E25" s="31">
        <f t="shared" si="0"/>
        <v>46247</v>
      </c>
      <c r="F25" s="6">
        <f t="shared" si="1"/>
        <v>5.8621155682614182E-2</v>
      </c>
      <c r="G25" s="14">
        <f t="shared" si="2"/>
        <v>135805.67733138951</v>
      </c>
      <c r="H25" s="10">
        <f t="shared" si="3"/>
        <v>1.2098501321281916</v>
      </c>
    </row>
    <row r="26" spans="2:8" x14ac:dyDescent="0.45">
      <c r="B26" s="20" t="str">
        <f>+'County Data'!$B$36</f>
        <v>Gilliam, Sherman, Wasco</v>
      </c>
      <c r="C26" s="15">
        <f>VLOOKUP($B26,'County Data'!$B$10:$L$46,2,FALSE)</f>
        <v>31000</v>
      </c>
      <c r="D26" s="29">
        <f>VLOOKUP($B26,'County Data'!$B$10:$L$46,8,FALSE)</f>
        <v>0.41499999999999998</v>
      </c>
      <c r="E26" s="31">
        <f t="shared" si="0"/>
        <v>12865</v>
      </c>
      <c r="F26" s="6">
        <f t="shared" si="1"/>
        <v>1.6307245180375622E-2</v>
      </c>
      <c r="G26" s="14">
        <f t="shared" si="2"/>
        <v>37778.451334536854</v>
      </c>
      <c r="H26" s="10">
        <f t="shared" si="3"/>
        <v>1.2186597204689307</v>
      </c>
    </row>
    <row r="27" spans="2:8" x14ac:dyDescent="0.45">
      <c r="B27" s="20" t="str">
        <f>+'County Data'!$B$41</f>
        <v>Union</v>
      </c>
      <c r="C27" s="15">
        <f>VLOOKUP($B27,'County Data'!$B$10:$L$46,2,FALSE)</f>
        <v>26840</v>
      </c>
      <c r="D27" s="29">
        <f>VLOOKUP($B27,'County Data'!$B$10:$L$46,8,FALSE)</f>
        <v>0.42099999999999999</v>
      </c>
      <c r="E27" s="31">
        <f t="shared" si="0"/>
        <v>11299.64</v>
      </c>
      <c r="F27" s="6">
        <f t="shared" si="1"/>
        <v>1.4323047021374241E-2</v>
      </c>
      <c r="G27" s="14">
        <f t="shared" si="2"/>
        <v>33181.725599516991</v>
      </c>
      <c r="H27" s="10">
        <f t="shared" si="3"/>
        <v>1.2362788971504095</v>
      </c>
    </row>
    <row r="28" spans="2:8" x14ac:dyDescent="0.45">
      <c r="B28" s="20" t="str">
        <f>+'County Data'!$B$14</f>
        <v>Columbia</v>
      </c>
      <c r="C28" s="15">
        <f>VLOOKUP($B28,'County Data'!$B$10:$L$46,2,FALSE)</f>
        <v>52750</v>
      </c>
      <c r="D28" s="29">
        <f>VLOOKUP($B28,'County Data'!$B$10:$L$46,8,FALSE)</f>
        <v>0.436</v>
      </c>
      <c r="E28" s="31">
        <f t="shared" si="0"/>
        <v>22999</v>
      </c>
      <c r="F28" s="6">
        <f t="shared" si="1"/>
        <v>2.9152765791174425E-2</v>
      </c>
      <c r="G28" s="14">
        <f t="shared" si="2"/>
        <v>67537.240749554083</v>
      </c>
      <c r="H28" s="10">
        <f t="shared" si="3"/>
        <v>1.2803268388541058</v>
      </c>
    </row>
    <row r="29" spans="2:8" x14ac:dyDescent="0.45">
      <c r="B29" s="20" t="str">
        <f>+'County Data'!$B$22</f>
        <v>Harney</v>
      </c>
      <c r="C29" s="15">
        <f>VLOOKUP($B29,'County Data'!$B$10:$L$46,2,FALSE)</f>
        <v>7360</v>
      </c>
      <c r="D29" s="29">
        <f>VLOOKUP($B29,'County Data'!$B$10:$L$46,8,FALSE)</f>
        <v>0.443</v>
      </c>
      <c r="E29" s="31">
        <f t="shared" si="0"/>
        <v>3260.48</v>
      </c>
      <c r="F29" s="6">
        <f t="shared" si="1"/>
        <v>4.1328757688077044E-3</v>
      </c>
      <c r="G29" s="14">
        <f t="shared" si="2"/>
        <v>9574.4955310711812</v>
      </c>
      <c r="H29" s="10">
        <f t="shared" si="3"/>
        <v>1.3008825449824974</v>
      </c>
    </row>
    <row r="30" spans="2:8" x14ac:dyDescent="0.45">
      <c r="B30" s="20" t="str">
        <f>+'County Data'!$B$26</f>
        <v>Josephine</v>
      </c>
      <c r="C30" s="15">
        <f>VLOOKUP($B30,'County Data'!$B$10:$L$46,2,FALSE)</f>
        <v>86750</v>
      </c>
      <c r="D30" s="29">
        <f>VLOOKUP($B30,'County Data'!$B$10:$L$46,8,FALSE)</f>
        <v>0.45</v>
      </c>
      <c r="E30" s="31">
        <f t="shared" si="0"/>
        <v>39037.5</v>
      </c>
      <c r="F30" s="6">
        <f t="shared" si="1"/>
        <v>4.9482633791598403E-2</v>
      </c>
      <c r="G30" s="14">
        <f t="shared" si="2"/>
        <v>114634.76828386962</v>
      </c>
      <c r="H30" s="10">
        <f t="shared" si="3"/>
        <v>1.3214382511108891</v>
      </c>
    </row>
    <row r="31" spans="2:8" x14ac:dyDescent="0.45">
      <c r="B31" s="20" t="str">
        <f>+'County Data'!$B$34</f>
        <v>Morrow</v>
      </c>
      <c r="C31" s="15">
        <f>VLOOKUP($B31,'County Data'!$B$10:$L$46,2,FALSE)</f>
        <v>12680</v>
      </c>
      <c r="D31" s="29">
        <f>VLOOKUP($B31,'County Data'!$B$10:$L$46,8,FALSE)</f>
        <v>0.45900000000000002</v>
      </c>
      <c r="E31" s="31">
        <f t="shared" si="0"/>
        <v>5820.12</v>
      </c>
      <c r="F31" s="6">
        <f t="shared" si="1"/>
        <v>7.3773901142019259E-3</v>
      </c>
      <c r="G31" s="14">
        <f t="shared" si="2"/>
        <v>17090.953764567792</v>
      </c>
      <c r="H31" s="10">
        <f t="shared" si="3"/>
        <v>1.3478670161331066</v>
      </c>
    </row>
    <row r="32" spans="2:8" x14ac:dyDescent="0.45">
      <c r="B32" s="20" t="str">
        <f>+'County Data'!$B$16</f>
        <v>Crook</v>
      </c>
      <c r="C32" s="15">
        <f>VLOOKUP($B32,'County Data'!$B$10:$L$46,2,FALSE)</f>
        <v>23440</v>
      </c>
      <c r="D32" s="29">
        <f>VLOOKUP($B32,'County Data'!$B$10:$L$46,8,FALSE)</f>
        <v>0.48</v>
      </c>
      <c r="E32" s="31">
        <f t="shared" si="0"/>
        <v>11251.199999999999</v>
      </c>
      <c r="F32" s="6">
        <f t="shared" si="1"/>
        <v>1.4261646091989289E-2</v>
      </c>
      <c r="G32" s="14">
        <f t="shared" si="2"/>
        <v>33039.480113108519</v>
      </c>
      <c r="H32" s="10">
        <f t="shared" si="3"/>
        <v>1.4095341345182815</v>
      </c>
    </row>
    <row r="33" spans="2:8" x14ac:dyDescent="0.45">
      <c r="B33" s="20" t="str">
        <f>+'County Data'!$B$32</f>
        <v>Malheur</v>
      </c>
      <c r="C33" s="15">
        <f>VLOOKUP($B33,'County Data'!$B$10:$L$46,2,FALSE)</f>
        <v>32030</v>
      </c>
      <c r="D33" s="29">
        <f>VLOOKUP($B33,'County Data'!$B$10:$L$46,8,FALSE)</f>
        <v>0.48399999999999999</v>
      </c>
      <c r="E33" s="31">
        <f t="shared" si="0"/>
        <v>15502.52</v>
      </c>
      <c r="F33" s="6">
        <f t="shared" si="1"/>
        <v>1.9650477617852834E-2</v>
      </c>
      <c r="G33" s="14">
        <f t="shared" si="2"/>
        <v>45523.606481359064</v>
      </c>
      <c r="H33" s="10">
        <f t="shared" si="3"/>
        <v>1.421280252305934</v>
      </c>
    </row>
    <row r="34" spans="2:8" x14ac:dyDescent="0.45">
      <c r="B34" s="20" t="str">
        <f>+'County Data'!$B$23</f>
        <v>Hood River</v>
      </c>
      <c r="C34" s="15">
        <f>VLOOKUP($B34,'County Data'!$B$10:$L$46,2,FALSE)</f>
        <v>25480</v>
      </c>
      <c r="D34" s="29">
        <f>VLOOKUP($B34,'County Data'!$B$10:$L$46,8,FALSE)</f>
        <v>0.52200000000000002</v>
      </c>
      <c r="E34" s="31">
        <f t="shared" si="0"/>
        <v>13300.560000000001</v>
      </c>
      <c r="F34" s="6">
        <f t="shared" si="1"/>
        <v>1.6859346518173092E-2</v>
      </c>
      <c r="G34" s="14">
        <f t="shared" si="2"/>
        <v>39057.486100434326</v>
      </c>
      <c r="H34" s="10">
        <f t="shared" si="3"/>
        <v>1.5328683712886313</v>
      </c>
    </row>
    <row r="35" spans="2:8" x14ac:dyDescent="0.45">
      <c r="B35" s="20" t="str">
        <f>+'County Data'!$B$25</f>
        <v>Jefferson</v>
      </c>
      <c r="C35" s="15">
        <f>VLOOKUP($B35,'County Data'!$B$10:$L$46,2,FALSE)</f>
        <v>23840</v>
      </c>
      <c r="D35" s="29">
        <f>VLOOKUP($B35,'County Data'!$B$10:$L$46,8,FALSE)</f>
        <v>0.63100000000000001</v>
      </c>
      <c r="E35" s="31">
        <f t="shared" si="0"/>
        <v>15043.04</v>
      </c>
      <c r="F35" s="6">
        <f t="shared" si="1"/>
        <v>1.9068056085363213E-2</v>
      </c>
      <c r="G35" s="14">
        <f t="shared" si="2"/>
        <v>44174.329931091437</v>
      </c>
      <c r="H35" s="10">
        <f t="shared" si="3"/>
        <v>1.8529500810021575</v>
      </c>
    </row>
    <row r="36" spans="2:8" x14ac:dyDescent="0.45">
      <c r="B36" s="20" t="str">
        <f>+'County Data'!$B$28</f>
        <v>Lake</v>
      </c>
      <c r="C36" s="15">
        <f>VLOOKUP($B36,'County Data'!$B$10:$L$46,2,FALSE)</f>
        <v>8080</v>
      </c>
      <c r="D36" s="29">
        <f>VLOOKUP($B36,'County Data'!$B$10:$L$46,8,FALSE)</f>
        <v>0.63300000000000001</v>
      </c>
      <c r="E36" s="31">
        <f t="shared" si="0"/>
        <v>5114.6400000000003</v>
      </c>
      <c r="F36" s="6">
        <f t="shared" si="1"/>
        <v>6.4831471814501664E-3</v>
      </c>
      <c r="G36" s="14">
        <f t="shared" si="2"/>
        <v>15019.290970359551</v>
      </c>
      <c r="H36" s="10">
        <f t="shared" si="3"/>
        <v>1.858823139895984</v>
      </c>
    </row>
    <row r="37" spans="2:8" x14ac:dyDescent="0.45">
      <c r="B37" s="20" t="str">
        <f>+'County Data'!$B$39</f>
        <v>Tillamook</v>
      </c>
      <c r="C37" s="15">
        <f>VLOOKUP($B37,'County Data'!$B$10:$L$46,2,FALSE)</f>
        <v>26500</v>
      </c>
      <c r="D37" s="29">
        <f>VLOOKUP($B37,'County Data'!$B$10:$L$46,8,FALSE)</f>
        <v>0.69599999999999995</v>
      </c>
      <c r="E37" s="31">
        <f t="shared" si="0"/>
        <v>18444</v>
      </c>
      <c r="F37" s="6">
        <f t="shared" si="1"/>
        <v>2.3378999619653944E-2</v>
      </c>
      <c r="G37" s="14">
        <f t="shared" si="2"/>
        <v>54161.349118864964</v>
      </c>
      <c r="H37" s="10">
        <f t="shared" si="3"/>
        <v>2.0438244950515081</v>
      </c>
    </row>
    <row r="38" spans="2:8" x14ac:dyDescent="0.45">
      <c r="B38" s="20" t="str">
        <f>+'County Data'!$B$21</f>
        <v>Grant</v>
      </c>
      <c r="C38" s="15">
        <f>VLOOKUP($B38,'County Data'!$B$10:$L$46,2,FALSE)</f>
        <v>7360</v>
      </c>
      <c r="D38" s="29">
        <f>VLOOKUP($B38,'County Data'!$B$10:$L$46,8,FALSE)</f>
        <v>1</v>
      </c>
      <c r="E38" s="31">
        <f t="shared" si="0"/>
        <v>7360</v>
      </c>
      <c r="F38" s="6">
        <f t="shared" si="1"/>
        <v>9.3292906745094904E-3</v>
      </c>
      <c r="G38" s="14">
        <f t="shared" si="2"/>
        <v>21612.856729280316</v>
      </c>
      <c r="H38" s="10">
        <f t="shared" si="3"/>
        <v>2.9365294469130863</v>
      </c>
    </row>
    <row r="39" spans="2:8" x14ac:dyDescent="0.45">
      <c r="B39" s="20" t="str">
        <f>+'County Data'!$B$42</f>
        <v>Wallowa</v>
      </c>
      <c r="C39" s="15">
        <f>VLOOKUP($B39,'County Data'!$B$10:$L$46,2,FALSE)</f>
        <v>7150</v>
      </c>
      <c r="D39" s="29">
        <f>VLOOKUP($B39,'County Data'!$B$10:$L$46,8,FALSE)</f>
        <v>1</v>
      </c>
      <c r="E39" s="31">
        <f t="shared" si="0"/>
        <v>7150</v>
      </c>
      <c r="F39" s="6">
        <f t="shared" si="1"/>
        <v>9.0631016742857146E-3</v>
      </c>
      <c r="G39" s="14">
        <f t="shared" si="2"/>
        <v>20996.185545428572</v>
      </c>
      <c r="H39" s="10">
        <f t="shared" si="3"/>
        <v>2.9365294469130871</v>
      </c>
    </row>
    <row r="40" spans="2:8" x14ac:dyDescent="0.45">
      <c r="B40" s="20" t="str">
        <f>'County Data'!$B$45</f>
        <v>Wheeler</v>
      </c>
      <c r="C40" s="15">
        <f>VLOOKUP($B40,'County Data'!$B$10:$L$46,2,FALSE)</f>
        <v>1440</v>
      </c>
      <c r="D40" s="29">
        <f>VLOOKUP($B40,'County Data'!$B$10:$L$46,8,FALSE)</f>
        <v>1</v>
      </c>
      <c r="E40" s="31">
        <f t="shared" si="0"/>
        <v>1440</v>
      </c>
      <c r="F40" s="6">
        <f t="shared" si="1"/>
        <v>1.8252960015344654E-3</v>
      </c>
      <c r="G40" s="14">
        <f t="shared" si="2"/>
        <v>4228.6024035548444</v>
      </c>
      <c r="H40" s="10">
        <f t="shared" si="3"/>
        <v>2.9365294469130863</v>
      </c>
    </row>
    <row r="41" spans="2:8" x14ac:dyDescent="0.45">
      <c r="B41" s="4" t="s">
        <v>2</v>
      </c>
      <c r="C41" s="5">
        <f>SUM(C7:C40)</f>
        <v>4236400</v>
      </c>
      <c r="D41" s="5">
        <f>SUM(D7:D40)</f>
        <v>14.057999999999998</v>
      </c>
      <c r="E41" s="5">
        <f>SUM(E7:E40)</f>
        <v>788913.14</v>
      </c>
      <c r="F41" s="8">
        <f>SUM(F7:F40)</f>
        <v>1</v>
      </c>
      <c r="G41" s="11">
        <f>SUM(G7:G40)</f>
        <v>2316666.666666666</v>
      </c>
      <c r="H41" s="12">
        <f>G41/C41</f>
        <v>0.5468479526642116</v>
      </c>
    </row>
  </sheetData>
  <sortState xmlns:xlrd2="http://schemas.microsoft.com/office/spreadsheetml/2017/richdata2" ref="B7:H40">
    <sortCondition ref="D7:D40"/>
  </sortState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</vt:i4>
      </vt:variant>
    </vt:vector>
  </HeadingPairs>
  <TitlesOfParts>
    <vt:vector size="15" baseType="lpstr">
      <vt:lpstr>Input</vt:lpstr>
      <vt:lpstr>Summary</vt:lpstr>
      <vt:lpstr>County Data</vt:lpstr>
      <vt:lpstr>Population</vt:lpstr>
      <vt:lpstr>Floor</vt:lpstr>
      <vt:lpstr>Burden</vt:lpstr>
      <vt:lpstr>Health Status</vt:lpstr>
      <vt:lpstr>Ethnicity</vt:lpstr>
      <vt:lpstr>Rurality</vt:lpstr>
      <vt:lpstr>Poverty</vt:lpstr>
      <vt:lpstr>Education</vt:lpstr>
      <vt:lpstr>Language</vt:lpstr>
      <vt:lpstr>Matching</vt:lpstr>
      <vt:lpstr>Incentives</vt:lpstr>
      <vt:lpstr>'County Data'!Print_Area</vt:lpstr>
    </vt:vector>
  </TitlesOfParts>
  <Company>Oregon DHS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Curtis Christopher J</dc:creator>
  <cp:lastModifiedBy>BEAUDRAULT Sara</cp:lastModifiedBy>
  <cp:lastPrinted>2020-06-22T16:07:56Z</cp:lastPrinted>
  <dcterms:created xsi:type="dcterms:W3CDTF">2016-05-10T19:52:04Z</dcterms:created>
  <dcterms:modified xsi:type="dcterms:W3CDTF">2021-02-11T20:02:37Z</dcterms:modified>
</cp:coreProperties>
</file>