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SRH Programs\Adolescent\SBHC\Mental Health\MH Advisory Group\2022\Survey, final proposals, updated grant requirements, etc\"/>
    </mc:Choice>
  </mc:AlternateContent>
  <xr:revisionPtr revIDLastSave="0" documentId="13_ncr:1_{B423B41E-89A1-41B1-BE1C-EA9BD4355E18}" xr6:coauthVersionLast="47" xr6:coauthVersionMax="47" xr10:uidLastSave="{00000000-0000-0000-0000-000000000000}"/>
  <bookViews>
    <workbookView xWindow="-110" yWindow="-110" windowWidth="19420" windowHeight="10420" xr2:uid="{486D8328-6ED1-47E8-A6CB-96B2E949CD1B}"/>
  </bookViews>
  <sheets>
    <sheet name="Updated 2023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F88" i="1"/>
  <c r="D88" i="1"/>
  <c r="E88" i="1" s="1"/>
  <c r="G87" i="1"/>
  <c r="E87" i="1"/>
  <c r="H87" i="1" s="1"/>
  <c r="G86" i="1"/>
  <c r="E86" i="1"/>
  <c r="H86" i="1" s="1"/>
  <c r="I85" i="1"/>
  <c r="H85" i="1"/>
  <c r="J85" i="1" s="1"/>
  <c r="K85" i="1" s="1"/>
  <c r="G85" i="1"/>
  <c r="L85" i="1" s="1"/>
  <c r="G84" i="1"/>
  <c r="L84" i="1" s="1"/>
  <c r="E84" i="1"/>
  <c r="I84" i="1" s="1"/>
  <c r="G82" i="1"/>
  <c r="E82" i="1"/>
  <c r="H82" i="1" s="1"/>
  <c r="G78" i="1"/>
  <c r="L78" i="1" s="1"/>
  <c r="E78" i="1"/>
  <c r="I78" i="1" s="1"/>
  <c r="G76" i="1"/>
  <c r="L76" i="1" s="1"/>
  <c r="E76" i="1"/>
  <c r="I76" i="1" s="1"/>
  <c r="G74" i="1"/>
  <c r="E74" i="1"/>
  <c r="H74" i="1" s="1"/>
  <c r="G73" i="1"/>
  <c r="E73" i="1"/>
  <c r="H73" i="1" s="1"/>
  <c r="I72" i="1"/>
  <c r="H72" i="1"/>
  <c r="J72" i="1" s="1"/>
  <c r="K72" i="1" s="1"/>
  <c r="G72" i="1"/>
  <c r="L72" i="1" s="1"/>
  <c r="I71" i="1"/>
  <c r="H71" i="1"/>
  <c r="J71" i="1" s="1"/>
  <c r="K71" i="1" s="1"/>
  <c r="G71" i="1"/>
  <c r="L71" i="1" s="1"/>
  <c r="G62" i="1"/>
  <c r="E62" i="1"/>
  <c r="I62" i="1" s="1"/>
  <c r="G61" i="1"/>
  <c r="E61" i="1"/>
  <c r="I61" i="1" s="1"/>
  <c r="G60" i="1"/>
  <c r="E60" i="1"/>
  <c r="H60" i="1" s="1"/>
  <c r="G56" i="1"/>
  <c r="E56" i="1"/>
  <c r="I56" i="1" s="1"/>
  <c r="G55" i="1"/>
  <c r="L55" i="1" s="1"/>
  <c r="E55" i="1"/>
  <c r="I55" i="1" s="1"/>
  <c r="G54" i="1"/>
  <c r="E54" i="1"/>
  <c r="L54" i="1" s="1"/>
  <c r="G52" i="1"/>
  <c r="E52" i="1"/>
  <c r="I52" i="1" s="1"/>
  <c r="G51" i="1"/>
  <c r="E51" i="1"/>
  <c r="H51" i="1" s="1"/>
  <c r="J51" i="1" s="1"/>
  <c r="K51" i="1" s="1"/>
  <c r="H46" i="1"/>
  <c r="G46" i="1"/>
  <c r="E46" i="1"/>
  <c r="I46" i="1" s="1"/>
  <c r="G45" i="1"/>
  <c r="E45" i="1"/>
  <c r="I45" i="1" s="1"/>
  <c r="G36" i="1"/>
  <c r="E36" i="1"/>
  <c r="H36" i="1" s="1"/>
  <c r="H31" i="1"/>
  <c r="G31" i="1"/>
  <c r="L31" i="1" s="1"/>
  <c r="E31" i="1"/>
  <c r="I31" i="1" s="1"/>
  <c r="G30" i="1"/>
  <c r="E30" i="1"/>
  <c r="I30" i="1" s="1"/>
  <c r="G29" i="1"/>
  <c r="E29" i="1"/>
  <c r="L29" i="1" s="1"/>
  <c r="G28" i="1"/>
  <c r="L28" i="1" s="1"/>
  <c r="E28" i="1"/>
  <c r="I28" i="1" s="1"/>
  <c r="G27" i="1"/>
  <c r="L27" i="1" s="1"/>
  <c r="E27" i="1"/>
  <c r="H27" i="1" s="1"/>
  <c r="I26" i="1"/>
  <c r="H26" i="1"/>
  <c r="G26" i="1"/>
  <c r="L26" i="1" s="1"/>
  <c r="E26" i="1"/>
  <c r="H21" i="1"/>
  <c r="G21" i="1"/>
  <c r="L21" i="1" s="1"/>
  <c r="E21" i="1"/>
  <c r="I21" i="1" s="1"/>
  <c r="G19" i="1"/>
  <c r="E19" i="1"/>
  <c r="H19" i="1" s="1"/>
  <c r="G18" i="1"/>
  <c r="E18" i="1"/>
  <c r="I18" i="1" s="1"/>
  <c r="G17" i="1"/>
  <c r="L17" i="1" s="1"/>
  <c r="E17" i="1"/>
  <c r="H17" i="1" s="1"/>
  <c r="G12" i="1"/>
  <c r="E12" i="1"/>
  <c r="L12" i="1" s="1"/>
  <c r="G8" i="1"/>
  <c r="E8" i="1"/>
  <c r="I8" i="1" s="1"/>
  <c r="G7" i="1"/>
  <c r="L7" i="1" s="1"/>
  <c r="E7" i="1"/>
  <c r="H7" i="1" s="1"/>
  <c r="G5" i="1"/>
  <c r="L5" i="1" s="1"/>
  <c r="E5" i="1"/>
  <c r="I5" i="1" s="1"/>
  <c r="G3" i="1"/>
  <c r="E3" i="1"/>
  <c r="H3" i="1" s="1"/>
  <c r="G2" i="1"/>
  <c r="E2" i="1"/>
  <c r="H2" i="1" s="1"/>
  <c r="L19" i="1" l="1"/>
  <c r="H56" i="1"/>
  <c r="H62" i="1"/>
  <c r="J62" i="1" s="1"/>
  <c r="K62" i="1" s="1"/>
  <c r="I3" i="1"/>
  <c r="L30" i="1"/>
  <c r="H78" i="1"/>
  <c r="J17" i="1"/>
  <c r="K17" i="1" s="1"/>
  <c r="J46" i="1"/>
  <c r="K46" i="1" s="1"/>
  <c r="L3" i="1"/>
  <c r="L56" i="1"/>
  <c r="I17" i="1"/>
  <c r="L61" i="1"/>
  <c r="L82" i="1"/>
  <c r="H61" i="1"/>
  <c r="J61" i="1" s="1"/>
  <c r="K61" i="1" s="1"/>
  <c r="I86" i="1"/>
  <c r="J86" i="1" s="1"/>
  <c r="K86" i="1" s="1"/>
  <c r="L8" i="1"/>
  <c r="I27" i="1"/>
  <c r="J27" i="1" s="1"/>
  <c r="K27" i="1" s="1"/>
  <c r="G88" i="1"/>
  <c r="B103" i="1" s="1"/>
  <c r="B104" i="1" s="1"/>
  <c r="H18" i="1"/>
  <c r="J18" i="1" s="1"/>
  <c r="K18" i="1" s="1"/>
  <c r="H45" i="1"/>
  <c r="I51" i="1"/>
  <c r="H55" i="1"/>
  <c r="J55" i="1" s="1"/>
  <c r="K55" i="1" s="1"/>
  <c r="L73" i="1"/>
  <c r="L86" i="1"/>
  <c r="J26" i="1"/>
  <c r="K26" i="1" s="1"/>
  <c r="L51" i="1"/>
  <c r="J78" i="1"/>
  <c r="K78" i="1" s="1"/>
  <c r="I7" i="1"/>
  <c r="J7" i="1" s="1"/>
  <c r="K7" i="1" s="1"/>
  <c r="L52" i="1"/>
  <c r="L87" i="1"/>
  <c r="L46" i="1"/>
  <c r="J56" i="1"/>
  <c r="K56" i="1" s="1"/>
  <c r="H5" i="1"/>
  <c r="J5" i="1" s="1"/>
  <c r="K5" i="1" s="1"/>
  <c r="J45" i="1"/>
  <c r="K45" i="1" s="1"/>
  <c r="H30" i="1"/>
  <c r="J30" i="1" s="1"/>
  <c r="K30" i="1" s="1"/>
  <c r="L18" i="1"/>
  <c r="L45" i="1"/>
  <c r="L60" i="1"/>
  <c r="L62" i="1"/>
  <c r="H76" i="1"/>
  <c r="J76" i="1" s="1"/>
  <c r="K76" i="1" s="1"/>
  <c r="I82" i="1"/>
  <c r="J82" i="1" s="1"/>
  <c r="K82" i="1" s="1"/>
  <c r="J31" i="1"/>
  <c r="K31" i="1" s="1"/>
  <c r="J3" i="1"/>
  <c r="K3" i="1" s="1"/>
  <c r="I19" i="1"/>
  <c r="J19" i="1" s="1"/>
  <c r="I87" i="1"/>
  <c r="J87" i="1" s="1"/>
  <c r="K87" i="1" s="1"/>
  <c r="H29" i="1"/>
  <c r="L2" i="1"/>
  <c r="H8" i="1"/>
  <c r="J8" i="1" s="1"/>
  <c r="K8" i="1" s="1"/>
  <c r="I12" i="1"/>
  <c r="H28" i="1"/>
  <c r="J28" i="1" s="1"/>
  <c r="K28" i="1" s="1"/>
  <c r="I29" i="1"/>
  <c r="L36" i="1"/>
  <c r="H52" i="1"/>
  <c r="J52" i="1" s="1"/>
  <c r="K52" i="1" s="1"/>
  <c r="I54" i="1"/>
  <c r="L74" i="1"/>
  <c r="H84" i="1"/>
  <c r="J84" i="1" s="1"/>
  <c r="K84" i="1" s="1"/>
  <c r="I2" i="1"/>
  <c r="J2" i="1" s="1"/>
  <c r="J21" i="1"/>
  <c r="K21" i="1" s="1"/>
  <c r="I36" i="1"/>
  <c r="J36" i="1" s="1"/>
  <c r="K36" i="1" s="1"/>
  <c r="I60" i="1"/>
  <c r="J60" i="1" s="1"/>
  <c r="K60" i="1" s="1"/>
  <c r="I74" i="1"/>
  <c r="J74" i="1" s="1"/>
  <c r="K74" i="1" s="1"/>
  <c r="I73" i="1"/>
  <c r="J73" i="1" s="1"/>
  <c r="K73" i="1" s="1"/>
  <c r="H12" i="1"/>
  <c r="H54" i="1"/>
  <c r="J12" i="1" l="1"/>
  <c r="K12" i="1" s="1"/>
  <c r="J29" i="1"/>
  <c r="K29" i="1" s="1"/>
  <c r="K2" i="1"/>
  <c r="I88" i="1"/>
  <c r="J54" i="1"/>
  <c r="K54" i="1" s="1"/>
  <c r="H88" i="1"/>
  <c r="B98" i="1" l="1"/>
  <c r="B97" i="1"/>
  <c r="B96" i="1"/>
  <c r="B95" i="1"/>
  <c r="B94" i="1"/>
  <c r="J88" i="1"/>
  <c r="B101" i="1" s="1"/>
  <c r="B102" i="1" s="1"/>
  <c r="B93" i="1"/>
  <c r="B92" i="1" l="1"/>
</calcChain>
</file>

<file path=xl/sharedStrings.xml><?xml version="1.0" encoding="utf-8"?>
<sst xmlns="http://schemas.openxmlformats.org/spreadsheetml/2006/main" count="289" uniqueCount="176">
  <si>
    <t>County</t>
  </si>
  <si>
    <t>Medical Sponsor</t>
  </si>
  <si>
    <t>Site Name</t>
  </si>
  <si>
    <t>21-23 award by SBHC</t>
  </si>
  <si>
    <t>21-23 award by system</t>
  </si>
  <si>
    <t xml:space="preserve">Tiered Funding </t>
  </si>
  <si>
    <t xml:space="preserve">Tiered funding by system </t>
  </si>
  <si>
    <t>90% of 21-23 award</t>
  </si>
  <si>
    <t>110% of 21-23 award</t>
  </si>
  <si>
    <t>Proposed system award 2023-2025</t>
  </si>
  <si>
    <t xml:space="preserve">Award adjustment  </t>
  </si>
  <si>
    <t>Baker</t>
  </si>
  <si>
    <t>Baker County Health Department</t>
  </si>
  <si>
    <t>Baker HS</t>
  </si>
  <si>
    <t>Tiers</t>
  </si>
  <si>
    <t>Amount per site</t>
  </si>
  <si>
    <t>Benton</t>
  </si>
  <si>
    <t>Community Health Centers of Benton and Linn County</t>
  </si>
  <si>
    <t>Lincoln ES</t>
  </si>
  <si>
    <t>1st site</t>
  </si>
  <si>
    <t>Monroe Grade School</t>
  </si>
  <si>
    <t>2nd site</t>
  </si>
  <si>
    <t>Clackamas</t>
  </si>
  <si>
    <t>Orchid Health</t>
  </si>
  <si>
    <t>Estacada HS</t>
  </si>
  <si>
    <t xml:space="preserve">Each additional </t>
  </si>
  <si>
    <t>Sandy HS</t>
  </si>
  <si>
    <t>OutsideIn</t>
  </si>
  <si>
    <t>Milwaukie HS</t>
  </si>
  <si>
    <t>Clackamas County Health Clinics</t>
  </si>
  <si>
    <t>AC Nelson HS</t>
  </si>
  <si>
    <r>
      <t>Proposed System Award 2023-2025</t>
    </r>
    <r>
      <rPr>
        <b/>
        <sz val="11"/>
        <color theme="1"/>
        <rFont val="Calibri"/>
        <family val="2"/>
        <scheme val="minor"/>
      </rPr>
      <t xml:space="preserve"> (Column J)</t>
    </r>
    <r>
      <rPr>
        <sz val="11"/>
        <color theme="1"/>
        <rFont val="Calibri"/>
        <family val="2"/>
        <scheme val="minor"/>
      </rPr>
      <t xml:space="preserve"> is calculated with bumpers. If 21-23 system award </t>
    </r>
    <r>
      <rPr>
        <b/>
        <sz val="11"/>
        <color theme="1"/>
        <rFont val="Calibri"/>
        <family val="2"/>
        <scheme val="minor"/>
      </rPr>
      <t>(Column E)</t>
    </r>
    <r>
      <rPr>
        <sz val="11"/>
        <color theme="1"/>
        <rFont val="Calibri"/>
        <family val="2"/>
        <scheme val="minor"/>
      </rPr>
      <t xml:space="preserve"> is less than tiered funding amount </t>
    </r>
    <r>
      <rPr>
        <b/>
        <sz val="11"/>
        <color theme="1"/>
        <rFont val="Calibri"/>
        <family val="2"/>
        <scheme val="minor"/>
      </rPr>
      <t>(Column G)</t>
    </r>
    <r>
      <rPr>
        <sz val="11"/>
        <color theme="1"/>
        <rFont val="Calibri"/>
        <family val="2"/>
        <scheme val="minor"/>
      </rPr>
      <t xml:space="preserve"> system will get a 10% award </t>
    </r>
    <r>
      <rPr>
        <u/>
        <sz val="11"/>
        <color theme="1"/>
        <rFont val="Calibri"/>
        <family val="2"/>
        <scheme val="minor"/>
      </rPr>
      <t>increase</t>
    </r>
    <r>
      <rPr>
        <sz val="11"/>
        <color theme="1"/>
        <rFont val="Calibri"/>
        <family val="2"/>
        <scheme val="minor"/>
      </rPr>
      <t xml:space="preserve"> to current award. If 21-23 system award </t>
    </r>
    <r>
      <rPr>
        <b/>
        <sz val="11"/>
        <color theme="1"/>
        <rFont val="Calibri"/>
        <family val="2"/>
        <scheme val="minor"/>
      </rPr>
      <t xml:space="preserve">(Column E) </t>
    </r>
    <r>
      <rPr>
        <sz val="11"/>
        <color theme="1"/>
        <rFont val="Calibri"/>
        <family val="2"/>
        <scheme val="minor"/>
      </rPr>
      <t xml:space="preserve">is greater than tiered funding amount </t>
    </r>
    <r>
      <rPr>
        <b/>
        <sz val="11"/>
        <color theme="1"/>
        <rFont val="Calibri"/>
        <family val="2"/>
        <scheme val="minor"/>
      </rPr>
      <t>(Column G)</t>
    </r>
    <r>
      <rPr>
        <sz val="11"/>
        <color theme="1"/>
        <rFont val="Calibri"/>
        <family val="2"/>
        <scheme val="minor"/>
      </rPr>
      <t xml:space="preserve"> system will get a 10% </t>
    </r>
    <r>
      <rPr>
        <u/>
        <sz val="11"/>
        <color theme="1"/>
        <rFont val="Calibri"/>
        <family val="2"/>
        <scheme val="minor"/>
      </rPr>
      <t>decrease</t>
    </r>
    <r>
      <rPr>
        <sz val="11"/>
        <color theme="1"/>
        <rFont val="Calibri"/>
        <family val="2"/>
        <scheme val="minor"/>
      </rPr>
      <t xml:space="preserve"> to current award. </t>
    </r>
  </si>
  <si>
    <t>Clackamas HS</t>
  </si>
  <si>
    <t>Oregon City HS</t>
  </si>
  <si>
    <t>Rex Putnam</t>
  </si>
  <si>
    <t>Columbia</t>
  </si>
  <si>
    <t>Columbia Health Services</t>
  </si>
  <si>
    <t>Clatskanie MS/HS</t>
  </si>
  <si>
    <t>Rainier Jr/Sr HS</t>
  </si>
  <si>
    <t>Lewis &amp; Clark ES</t>
  </si>
  <si>
    <t>St. Helens HS</t>
  </si>
  <si>
    <t>Vernonia K-12</t>
  </si>
  <si>
    <t>Coos</t>
  </si>
  <si>
    <t>Waterfall Community Health Center</t>
  </si>
  <si>
    <t>Marshfield HS</t>
  </si>
  <si>
    <t>Crook</t>
  </si>
  <si>
    <t>Mosaic Medical</t>
  </si>
  <si>
    <t>Pioneer Secondary Alternative HS</t>
  </si>
  <si>
    <t>Curry</t>
  </si>
  <si>
    <t>Coast Community Health</t>
  </si>
  <si>
    <t>Brookings Harbor HS</t>
  </si>
  <si>
    <t>Gold Beach HS</t>
  </si>
  <si>
    <t>Deschutes</t>
  </si>
  <si>
    <t>Bend HS</t>
  </si>
  <si>
    <t>Ensworth ES</t>
  </si>
  <si>
    <t>Lynch ES</t>
  </si>
  <si>
    <t>Redmond HS</t>
  </si>
  <si>
    <t>Sisters HS</t>
  </si>
  <si>
    <t>Klamath</t>
  </si>
  <si>
    <t>La Pine Community Health Center</t>
  </si>
  <si>
    <t>Gilchrist School</t>
  </si>
  <si>
    <t>La Pine K-12</t>
  </si>
  <si>
    <t>Douglas</t>
  </si>
  <si>
    <t>Aviva Health</t>
  </si>
  <si>
    <t>Roseburg HS</t>
  </si>
  <si>
    <t>Grant</t>
  </si>
  <si>
    <t>Grant County Health Department</t>
  </si>
  <si>
    <t>Grant Union HS</t>
  </si>
  <si>
    <t>Hood River</t>
  </si>
  <si>
    <t>One Community Health</t>
  </si>
  <si>
    <t xml:space="preserve">Hood River HS </t>
  </si>
  <si>
    <t>Jackson</t>
  </si>
  <si>
    <t>Rogue Community Health</t>
  </si>
  <si>
    <t>Butte Falls Charter</t>
  </si>
  <si>
    <t>Eagle Point HS</t>
  </si>
  <si>
    <t>Table Rock ES</t>
  </si>
  <si>
    <t>White Mountain</t>
  </si>
  <si>
    <t>Ashland HS</t>
  </si>
  <si>
    <t>La Clinica</t>
  </si>
  <si>
    <t>Crater HS</t>
  </si>
  <si>
    <t>Jackson ES</t>
  </si>
  <si>
    <t>Jewett</t>
  </si>
  <si>
    <t>Hanby MS</t>
  </si>
  <si>
    <t>Oak Grove ES</t>
  </si>
  <si>
    <t>Phoenix ES</t>
  </si>
  <si>
    <t>Scenic MS</t>
  </si>
  <si>
    <t>Washington ES</t>
  </si>
  <si>
    <t>Jefferson</t>
  </si>
  <si>
    <t>Madras HS</t>
  </si>
  <si>
    <t>Josephine</t>
  </si>
  <si>
    <t>Siskiyou Community Health Center</t>
  </si>
  <si>
    <t>Evergreen ES</t>
  </si>
  <si>
    <t>Grants Pass HS</t>
  </si>
  <si>
    <t>Illinois Valley HS</t>
  </si>
  <si>
    <t>Lorna Byrne MS</t>
  </si>
  <si>
    <t>North Valley HS</t>
  </si>
  <si>
    <t>Lane</t>
  </si>
  <si>
    <t>Bethel Health Center</t>
  </si>
  <si>
    <t xml:space="preserve">Cascade MS </t>
  </si>
  <si>
    <t xml:space="preserve">PeaceHealth </t>
  </si>
  <si>
    <t>Churchill HS</t>
  </si>
  <si>
    <t>N. Eugene HS</t>
  </si>
  <si>
    <t>Lane Community Health Center</t>
  </si>
  <si>
    <t>Springfield HS</t>
  </si>
  <si>
    <t>Fern Ridge</t>
  </si>
  <si>
    <t>Lincoln</t>
  </si>
  <si>
    <t>Lincoln County Health &amp; Human Services</t>
  </si>
  <si>
    <t>Toledo HS</t>
  </si>
  <si>
    <t>Waldport HS</t>
  </si>
  <si>
    <t>Newport</t>
  </si>
  <si>
    <t>Taft</t>
  </si>
  <si>
    <t>Marion</t>
  </si>
  <si>
    <t>IHS</t>
  </si>
  <si>
    <t>Chemawa</t>
  </si>
  <si>
    <t>Morrow</t>
  </si>
  <si>
    <t>Morrow County Health District</t>
  </si>
  <si>
    <t>Ione K-12</t>
  </si>
  <si>
    <t>Multnomah</t>
  </si>
  <si>
    <t xml:space="preserve">Multnomah County Health Department </t>
  </si>
  <si>
    <t xml:space="preserve">Centennial HS </t>
  </si>
  <si>
    <t>Cleveland HS</t>
  </si>
  <si>
    <t xml:space="preserve">David Douglas HS </t>
  </si>
  <si>
    <t>Franklin HS</t>
  </si>
  <si>
    <t>Jefferson HS</t>
  </si>
  <si>
    <t>Parkrose HS</t>
  </si>
  <si>
    <t xml:space="preserve">Reynolds </t>
  </si>
  <si>
    <t>Roosevelt</t>
  </si>
  <si>
    <t>McDaniel</t>
  </si>
  <si>
    <t>OHSU</t>
  </si>
  <si>
    <t>Besnon</t>
  </si>
  <si>
    <t>Tillamook</t>
  </si>
  <si>
    <t>Rinehart Clinic</t>
  </si>
  <si>
    <t>Neah-Kah-Nie</t>
  </si>
  <si>
    <t>Polk</t>
  </si>
  <si>
    <t>Salem Health</t>
  </si>
  <si>
    <t>Central HS</t>
  </si>
  <si>
    <t>Umatilla</t>
  </si>
  <si>
    <t>Umatilla County Public Health</t>
  </si>
  <si>
    <t>Pendleton HS</t>
  </si>
  <si>
    <t>Sunridge MS</t>
  </si>
  <si>
    <t>Union</t>
  </si>
  <si>
    <t>Union County Center for Human Development Inc.</t>
  </si>
  <si>
    <t>La Grande HS</t>
  </si>
  <si>
    <t>Union SD</t>
  </si>
  <si>
    <t>Washington</t>
  </si>
  <si>
    <t>Virginia Garcia Memorial Health Center</t>
  </si>
  <si>
    <t>Beaverton HS</t>
  </si>
  <si>
    <t>Hillsboro Century</t>
  </si>
  <si>
    <t>Tigard</t>
  </si>
  <si>
    <t>Forest Grove HS</t>
  </si>
  <si>
    <t>Neighborhood Health Center</t>
  </si>
  <si>
    <t xml:space="preserve">Tualatin </t>
  </si>
  <si>
    <t>Merlo HS</t>
  </si>
  <si>
    <t>Wheeler</t>
  </si>
  <si>
    <t>Asher Community Health Center</t>
  </si>
  <si>
    <t>Mitchell SD</t>
  </si>
  <si>
    <t>Yamhill</t>
  </si>
  <si>
    <t xml:space="preserve">Providence </t>
  </si>
  <si>
    <t>Newberg HS</t>
  </si>
  <si>
    <t>Willamina HS</t>
  </si>
  <si>
    <t>Sunrise Family Clinic</t>
  </si>
  <si>
    <t xml:space="preserve">McMinnville </t>
  </si>
  <si>
    <t>2023-25</t>
  </si>
  <si>
    <t>Total funding needed</t>
  </si>
  <si>
    <t>Avg award by system</t>
  </si>
  <si>
    <t># systems that gain</t>
  </si>
  <si>
    <t># systems that lose</t>
  </si>
  <si>
    <t># systems no change</t>
  </si>
  <si>
    <t>Avg gain by system</t>
  </si>
  <si>
    <t>Avg loss by system</t>
  </si>
  <si>
    <t>2021-2023 Budget</t>
  </si>
  <si>
    <t>Anticipated 2023-2025 Budget</t>
  </si>
  <si>
    <t>Optimal 2023-2025 budget</t>
  </si>
  <si>
    <t>Additional Funding needed from A&amp;SH budget</t>
  </si>
  <si>
    <t>Funding need from legislature to cover all current sites</t>
  </si>
  <si>
    <t>Potential Adjustment (no known timeline / currently unfunded)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</si>
</sst>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 applyAlignment="1">
      <alignment wrapText="1"/>
    </xf>
    <xf numFmtId="165" fontId="0" fillId="6" borderId="1" xfId="0" applyNumberForma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2" fillId="7" borderId="1" xfId="0" applyNumberFormat="1" applyFont="1" applyFill="1" applyBorder="1" applyAlignment="1">
      <alignment wrapText="1"/>
    </xf>
    <xf numFmtId="165" fontId="0" fillId="7" borderId="1" xfId="0" applyNumberFormat="1" applyFill="1" applyBorder="1" applyAlignment="1">
      <alignment wrapText="1"/>
    </xf>
    <xf numFmtId="165" fontId="0" fillId="7" borderId="1" xfId="0" applyNumberFormat="1" applyFill="1" applyBorder="1" applyAlignment="1">
      <alignment horizontal="center" vertical="center" wrapText="1"/>
    </xf>
    <xf numFmtId="165" fontId="0" fillId="7" borderId="1" xfId="1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165" fontId="0" fillId="3" borderId="1" xfId="0" applyNumberFormat="1" applyFill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165" fontId="0" fillId="7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5" fontId="2" fillId="3" borderId="1" xfId="0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right"/>
    </xf>
    <xf numFmtId="165" fontId="0" fillId="0" borderId="0" xfId="0" applyNumberFormat="1"/>
    <xf numFmtId="165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15D2-34A8-4466-96AB-6AA811EC5DDC}">
  <dimension ref="A1:S104"/>
  <sheetViews>
    <sheetView tabSelected="1" zoomScale="85" zoomScaleNormal="85" workbookViewId="0">
      <pane ySplit="1" topLeftCell="A88" activePane="bottomLeft" state="frozen"/>
      <selection pane="bottomLeft" activeCell="D37" sqref="D37"/>
    </sheetView>
  </sheetViews>
  <sheetFormatPr defaultRowHeight="14.5" x14ac:dyDescent="0.35"/>
  <cols>
    <col min="1" max="2" width="20.1796875" customWidth="1"/>
    <col min="3" max="3" width="15.453125" customWidth="1"/>
    <col min="4" max="4" width="15.7265625" customWidth="1"/>
    <col min="5" max="5" width="15.54296875" customWidth="1"/>
    <col min="6" max="6" width="15.453125" style="46" customWidth="1"/>
    <col min="7" max="7" width="14.6328125" style="44" customWidth="1"/>
    <col min="8" max="8" width="16.54296875" hidden="1" customWidth="1"/>
    <col min="9" max="9" width="1.90625" hidden="1" customWidth="1"/>
    <col min="10" max="10" width="15.6328125" customWidth="1"/>
    <col min="11" max="11" width="16.54296875" style="44" customWidth="1"/>
    <col min="12" max="12" width="16.453125" style="44" customWidth="1"/>
    <col min="13" max="13" width="13.1796875" customWidth="1"/>
    <col min="14" max="14" width="12.26953125" customWidth="1"/>
    <col min="15" max="15" width="15.54296875" customWidth="1"/>
  </cols>
  <sheetData>
    <row r="1" spans="1:19" ht="10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175</v>
      </c>
    </row>
    <row r="2" spans="1:19" ht="29" x14ac:dyDescent="0.35">
      <c r="A2" s="4" t="s">
        <v>11</v>
      </c>
      <c r="B2" s="5" t="s">
        <v>12</v>
      </c>
      <c r="C2" s="5" t="s">
        <v>13</v>
      </c>
      <c r="D2" s="6">
        <v>135000</v>
      </c>
      <c r="E2" s="7">
        <f>D2</f>
        <v>135000</v>
      </c>
      <c r="F2" s="8">
        <v>175000</v>
      </c>
      <c r="G2" s="9">
        <f>F2</f>
        <v>175000</v>
      </c>
      <c r="H2" s="10">
        <f>E2*0.9</f>
        <v>121500</v>
      </c>
      <c r="I2" s="10">
        <f>1.1*E2</f>
        <v>148500</v>
      </c>
      <c r="J2" s="11">
        <f>IF(F2&lt;=H2,H2,IF(AND(F2&gt;H2,F2&lt;=I2),F2,I2))</f>
        <v>148500</v>
      </c>
      <c r="K2" s="10">
        <f>J2-E2</f>
        <v>13500</v>
      </c>
      <c r="L2" s="10">
        <f>G2-E2</f>
        <v>40000</v>
      </c>
      <c r="N2" s="12" t="s">
        <v>14</v>
      </c>
      <c r="O2" s="12" t="s">
        <v>15</v>
      </c>
    </row>
    <row r="3" spans="1:19" ht="43.5" x14ac:dyDescent="0.35">
      <c r="A3" s="4" t="s">
        <v>16</v>
      </c>
      <c r="B3" s="5" t="s">
        <v>17</v>
      </c>
      <c r="C3" s="5" t="s">
        <v>18</v>
      </c>
      <c r="D3" s="6">
        <v>60000</v>
      </c>
      <c r="E3" s="59">
        <f>D3+D4</f>
        <v>120000</v>
      </c>
      <c r="F3" s="8">
        <v>175000</v>
      </c>
      <c r="G3" s="60">
        <f>F4+F3</f>
        <v>300000</v>
      </c>
      <c r="H3" s="58">
        <f>E3*0.9</f>
        <v>108000</v>
      </c>
      <c r="I3" s="58">
        <f>1.1*E3</f>
        <v>132000</v>
      </c>
      <c r="J3" s="61">
        <f>IF(G3&lt;=H3,H3,IF(AND(G3&gt;H3,G3&lt;=I3),G3,I3))</f>
        <v>132000</v>
      </c>
      <c r="K3" s="58">
        <f>J3-E3</f>
        <v>12000</v>
      </c>
      <c r="L3" s="58">
        <f>G3-E3</f>
        <v>180000</v>
      </c>
      <c r="N3" s="13" t="s">
        <v>19</v>
      </c>
      <c r="O3" s="8">
        <v>175000</v>
      </c>
    </row>
    <row r="4" spans="1:19" ht="43.5" x14ac:dyDescent="0.35">
      <c r="A4" s="4" t="s">
        <v>16</v>
      </c>
      <c r="B4" s="5" t="s">
        <v>17</v>
      </c>
      <c r="C4" s="5" t="s">
        <v>20</v>
      </c>
      <c r="D4" s="6">
        <v>60000</v>
      </c>
      <c r="E4" s="59"/>
      <c r="F4" s="8">
        <v>125000</v>
      </c>
      <c r="G4" s="60"/>
      <c r="H4" s="58"/>
      <c r="I4" s="58"/>
      <c r="J4" s="61"/>
      <c r="K4" s="58"/>
      <c r="L4" s="58"/>
      <c r="N4" s="13" t="s">
        <v>21</v>
      </c>
      <c r="O4" s="8">
        <v>125000</v>
      </c>
    </row>
    <row r="5" spans="1:19" ht="29" x14ac:dyDescent="0.35">
      <c r="A5" s="4" t="s">
        <v>22</v>
      </c>
      <c r="B5" s="5" t="s">
        <v>23</v>
      </c>
      <c r="C5" s="14" t="s">
        <v>24</v>
      </c>
      <c r="D5" s="6">
        <v>150000</v>
      </c>
      <c r="E5" s="65">
        <f>D5+D6</f>
        <v>274000</v>
      </c>
      <c r="F5" s="8">
        <v>175000</v>
      </c>
      <c r="G5" s="68">
        <f>F5+F6</f>
        <v>300000</v>
      </c>
      <c r="H5" s="62">
        <f>E5*0.9</f>
        <v>246600</v>
      </c>
      <c r="I5" s="62">
        <f>1.1*E5</f>
        <v>301400</v>
      </c>
      <c r="J5" s="71">
        <f t="shared" ref="J5:J73" si="0">IF(F5&lt;=H5,H5,IF(AND(F5&gt;H5,F5&lt;=I5),F5,I5))</f>
        <v>246600</v>
      </c>
      <c r="K5" s="62">
        <f>J5-E5</f>
        <v>-27400</v>
      </c>
      <c r="L5" s="62">
        <f>G5-E5</f>
        <v>26000</v>
      </c>
      <c r="N5" s="13" t="s">
        <v>25</v>
      </c>
      <c r="O5" s="8">
        <v>50000</v>
      </c>
    </row>
    <row r="6" spans="1:19" x14ac:dyDescent="0.35">
      <c r="A6" s="4" t="s">
        <v>22</v>
      </c>
      <c r="B6" s="5" t="s">
        <v>23</v>
      </c>
      <c r="C6" s="14" t="s">
        <v>26</v>
      </c>
      <c r="D6" s="6">
        <v>124000</v>
      </c>
      <c r="E6" s="67"/>
      <c r="F6" s="8">
        <v>125000</v>
      </c>
      <c r="G6" s="70"/>
      <c r="H6" s="64"/>
      <c r="I6" s="64"/>
      <c r="J6" s="73"/>
      <c r="K6" s="64"/>
      <c r="L6" s="64"/>
      <c r="N6" s="15"/>
      <c r="O6" s="16"/>
    </row>
    <row r="7" spans="1:19" x14ac:dyDescent="0.35">
      <c r="A7" s="4" t="s">
        <v>22</v>
      </c>
      <c r="B7" s="5" t="s">
        <v>27</v>
      </c>
      <c r="C7" s="14" t="s">
        <v>28</v>
      </c>
      <c r="D7" s="6">
        <v>140000</v>
      </c>
      <c r="E7" s="7">
        <f>D7</f>
        <v>140000</v>
      </c>
      <c r="F7" s="8">
        <v>175000</v>
      </c>
      <c r="G7" s="9">
        <f>F7</f>
        <v>175000</v>
      </c>
      <c r="H7" s="10">
        <f>E7*0.9</f>
        <v>126000</v>
      </c>
      <c r="I7" s="10">
        <f>1.1*E7</f>
        <v>154000</v>
      </c>
      <c r="J7" s="11">
        <f>IF(F7&lt;=H7,H7,IF(AND(F7&gt;H7,F7&lt;=I7),F7,I7))</f>
        <v>154000</v>
      </c>
      <c r="K7" s="10">
        <f>J7-E7</f>
        <v>14000</v>
      </c>
      <c r="L7" s="10">
        <f>G7-E7</f>
        <v>35000</v>
      </c>
    </row>
    <row r="8" spans="1:19" ht="29" x14ac:dyDescent="0.35">
      <c r="A8" s="4" t="s">
        <v>22</v>
      </c>
      <c r="B8" s="5" t="s">
        <v>29</v>
      </c>
      <c r="C8" s="14" t="s">
        <v>30</v>
      </c>
      <c r="D8" s="6">
        <v>0</v>
      </c>
      <c r="E8" s="65">
        <f>D10+D11+D8+D9</f>
        <v>246000</v>
      </c>
      <c r="F8" s="8">
        <v>175000</v>
      </c>
      <c r="G8" s="68">
        <f>F10+F11+F9+F8</f>
        <v>400000</v>
      </c>
      <c r="H8" s="62">
        <f>E8*0.9</f>
        <v>221400</v>
      </c>
      <c r="I8" s="62">
        <f>1.1*E8</f>
        <v>270600</v>
      </c>
      <c r="J8" s="71">
        <f>IF(G8&lt;=H8,H8,IF(AND(G8&gt;H8,G8&lt;=I8),G8,I8))</f>
        <v>270600</v>
      </c>
      <c r="K8" s="62">
        <f>J8-E8</f>
        <v>24600</v>
      </c>
      <c r="L8" s="62">
        <f>G8-E8</f>
        <v>154000</v>
      </c>
      <c r="N8" s="75" t="s">
        <v>31</v>
      </c>
      <c r="O8" s="75"/>
      <c r="P8" s="17"/>
      <c r="Q8" s="17"/>
      <c r="R8" s="17"/>
      <c r="S8" s="17"/>
    </row>
    <row r="9" spans="1:19" ht="29" x14ac:dyDescent="0.35">
      <c r="A9" s="4" t="s">
        <v>22</v>
      </c>
      <c r="B9" s="5" t="s">
        <v>29</v>
      </c>
      <c r="C9" s="14" t="s">
        <v>32</v>
      </c>
      <c r="D9" s="6">
        <v>0</v>
      </c>
      <c r="E9" s="66"/>
      <c r="F9" s="8">
        <v>125000</v>
      </c>
      <c r="G9" s="69"/>
      <c r="H9" s="63"/>
      <c r="I9" s="63"/>
      <c r="J9" s="72"/>
      <c r="K9" s="63"/>
      <c r="L9" s="63"/>
      <c r="N9" s="75"/>
      <c r="O9" s="75"/>
      <c r="P9" s="17"/>
      <c r="Q9" s="17"/>
      <c r="R9" s="17"/>
      <c r="S9" s="17"/>
    </row>
    <row r="10" spans="1:19" ht="29" x14ac:dyDescent="0.35">
      <c r="A10" s="4" t="s">
        <v>22</v>
      </c>
      <c r="B10" s="5" t="s">
        <v>29</v>
      </c>
      <c r="C10" s="5" t="s">
        <v>33</v>
      </c>
      <c r="D10" s="6">
        <v>123000</v>
      </c>
      <c r="E10" s="66"/>
      <c r="F10" s="8">
        <v>50000</v>
      </c>
      <c r="G10" s="69"/>
      <c r="H10" s="63"/>
      <c r="I10" s="63"/>
      <c r="J10" s="72"/>
      <c r="K10" s="63"/>
      <c r="L10" s="63"/>
      <c r="N10" s="75"/>
      <c r="O10" s="75"/>
      <c r="P10" s="17"/>
      <c r="Q10" s="17"/>
      <c r="R10" s="17"/>
      <c r="S10" s="17"/>
    </row>
    <row r="11" spans="1:19" ht="29" x14ac:dyDescent="0.35">
      <c r="A11" s="4" t="s">
        <v>22</v>
      </c>
      <c r="B11" s="5" t="s">
        <v>29</v>
      </c>
      <c r="C11" s="5" t="s">
        <v>34</v>
      </c>
      <c r="D11" s="18">
        <v>123000</v>
      </c>
      <c r="E11" s="67"/>
      <c r="F11" s="8">
        <v>50000</v>
      </c>
      <c r="G11" s="70"/>
      <c r="H11" s="64"/>
      <c r="I11" s="64"/>
      <c r="J11" s="73"/>
      <c r="K11" s="64"/>
      <c r="L11" s="64"/>
      <c r="N11" s="75"/>
      <c r="O11" s="75"/>
      <c r="P11" s="17"/>
      <c r="Q11" s="17"/>
      <c r="R11" s="17"/>
      <c r="S11" s="17"/>
    </row>
    <row r="12" spans="1:19" ht="29" x14ac:dyDescent="0.35">
      <c r="A12" s="19" t="s">
        <v>35</v>
      </c>
      <c r="B12" s="14" t="s">
        <v>36</v>
      </c>
      <c r="C12" s="14" t="s">
        <v>37</v>
      </c>
      <c r="D12" s="6">
        <v>101400</v>
      </c>
      <c r="E12" s="59">
        <f>D12+D13+D14+D16</f>
        <v>382495</v>
      </c>
      <c r="F12" s="8">
        <v>175000</v>
      </c>
      <c r="G12" s="60">
        <f>F12+F13+F14+F16+F15</f>
        <v>400000</v>
      </c>
      <c r="H12" s="58">
        <f>E12*0.9</f>
        <v>344245.5</v>
      </c>
      <c r="I12" s="58">
        <f>1.1*E12</f>
        <v>420744.50000000006</v>
      </c>
      <c r="J12" s="61">
        <f>IF(G12&lt;=H12,H12,IF(AND(G12&gt;H12,G12&lt;=I12),G12,I12))</f>
        <v>400000</v>
      </c>
      <c r="K12" s="58">
        <f>J12-E12</f>
        <v>17505</v>
      </c>
      <c r="L12" s="58">
        <f>G12-E12</f>
        <v>17505</v>
      </c>
      <c r="N12" s="75"/>
      <c r="O12" s="75"/>
    </row>
    <row r="13" spans="1:19" ht="29" x14ac:dyDescent="0.35">
      <c r="A13" s="19" t="s">
        <v>35</v>
      </c>
      <c r="B13" s="14" t="s">
        <v>36</v>
      </c>
      <c r="C13" s="5" t="s">
        <v>38</v>
      </c>
      <c r="D13" s="6">
        <v>91407</v>
      </c>
      <c r="E13" s="59"/>
      <c r="F13" s="8">
        <v>125000</v>
      </c>
      <c r="G13" s="60"/>
      <c r="H13" s="58"/>
      <c r="I13" s="58"/>
      <c r="J13" s="61"/>
      <c r="K13" s="58"/>
      <c r="L13" s="58"/>
    </row>
    <row r="14" spans="1:19" ht="29" x14ac:dyDescent="0.35">
      <c r="A14" s="19" t="s">
        <v>35</v>
      </c>
      <c r="B14" s="14" t="s">
        <v>36</v>
      </c>
      <c r="C14" s="5" t="s">
        <v>39</v>
      </c>
      <c r="D14" s="6">
        <v>109688</v>
      </c>
      <c r="E14" s="59"/>
      <c r="F14" s="8">
        <v>50000</v>
      </c>
      <c r="G14" s="60"/>
      <c r="H14" s="58"/>
      <c r="I14" s="58"/>
      <c r="J14" s="61"/>
      <c r="K14" s="58"/>
      <c r="L14" s="58"/>
    </row>
    <row r="15" spans="1:19" ht="29" x14ac:dyDescent="0.35">
      <c r="A15" s="19" t="s">
        <v>35</v>
      </c>
      <c r="B15" s="14" t="s">
        <v>36</v>
      </c>
      <c r="C15" s="5" t="s">
        <v>40</v>
      </c>
      <c r="D15" s="6">
        <v>0</v>
      </c>
      <c r="E15" s="59"/>
      <c r="F15" s="8">
        <v>50000</v>
      </c>
      <c r="G15" s="60"/>
      <c r="H15" s="58"/>
      <c r="I15" s="58"/>
      <c r="J15" s="61"/>
      <c r="K15" s="58"/>
      <c r="L15" s="58"/>
    </row>
    <row r="16" spans="1:19" ht="29" x14ac:dyDescent="0.35">
      <c r="A16" s="20" t="s">
        <v>35</v>
      </c>
      <c r="B16" s="21" t="s">
        <v>36</v>
      </c>
      <c r="C16" s="22" t="s">
        <v>41</v>
      </c>
      <c r="D16" s="23">
        <v>80000</v>
      </c>
      <c r="E16" s="59"/>
      <c r="F16" s="8">
        <v>0</v>
      </c>
      <c r="G16" s="60"/>
      <c r="H16" s="58"/>
      <c r="I16" s="58"/>
      <c r="J16" s="61"/>
      <c r="K16" s="58"/>
      <c r="L16" s="58"/>
    </row>
    <row r="17" spans="1:12" ht="29" x14ac:dyDescent="0.35">
      <c r="A17" s="4" t="s">
        <v>42</v>
      </c>
      <c r="B17" s="5" t="s">
        <v>43</v>
      </c>
      <c r="C17" s="5" t="s">
        <v>44</v>
      </c>
      <c r="D17" s="6">
        <v>91000</v>
      </c>
      <c r="E17" s="7">
        <f>D17</f>
        <v>91000</v>
      </c>
      <c r="F17" s="8">
        <v>175000</v>
      </c>
      <c r="G17" s="9">
        <f>F17</f>
        <v>175000</v>
      </c>
      <c r="H17" s="10">
        <f>E17*0.9</f>
        <v>81900</v>
      </c>
      <c r="I17" s="10">
        <f>1.1*E17</f>
        <v>100100.00000000001</v>
      </c>
      <c r="J17" s="11">
        <f t="shared" si="0"/>
        <v>100100.00000000001</v>
      </c>
      <c r="K17" s="10">
        <f>J17-E17</f>
        <v>9100.0000000000146</v>
      </c>
      <c r="L17" s="10">
        <f>G17-E17</f>
        <v>84000</v>
      </c>
    </row>
    <row r="18" spans="1:12" ht="43.5" x14ac:dyDescent="0.35">
      <c r="A18" s="24" t="s">
        <v>45</v>
      </c>
      <c r="B18" s="25" t="s">
        <v>46</v>
      </c>
      <c r="C18" s="25" t="s">
        <v>47</v>
      </c>
      <c r="D18" s="6">
        <v>129520</v>
      </c>
      <c r="E18" s="7">
        <f>D18</f>
        <v>129520</v>
      </c>
      <c r="F18" s="8">
        <v>175000</v>
      </c>
      <c r="G18" s="9">
        <f>F18</f>
        <v>175000</v>
      </c>
      <c r="H18" s="10">
        <f>E18*0.9</f>
        <v>116568</v>
      </c>
      <c r="I18" s="10">
        <f>1.1*E18</f>
        <v>142472</v>
      </c>
      <c r="J18" s="11">
        <f>IF(F18&lt;=H18,H18,IF(AND(F18&gt;H18,F18&lt;=I18),F18,I18))</f>
        <v>142472</v>
      </c>
      <c r="K18" s="10">
        <f>J18-E18</f>
        <v>12952</v>
      </c>
      <c r="L18" s="10">
        <f>G18-E18</f>
        <v>45480</v>
      </c>
    </row>
    <row r="19" spans="1:12" ht="29" x14ac:dyDescent="0.35">
      <c r="A19" s="26" t="s">
        <v>48</v>
      </c>
      <c r="B19" s="27" t="s">
        <v>49</v>
      </c>
      <c r="C19" s="27" t="s">
        <v>50</v>
      </c>
      <c r="D19" s="28">
        <v>0</v>
      </c>
      <c r="E19" s="59">
        <f>D19+D20</f>
        <v>0</v>
      </c>
      <c r="F19" s="29">
        <v>175000</v>
      </c>
      <c r="G19" s="60">
        <f>F19+F20</f>
        <v>300000</v>
      </c>
      <c r="H19" s="74">
        <f>E19*0.9</f>
        <v>0</v>
      </c>
      <c r="I19" s="74">
        <f>1.1*E19</f>
        <v>0</v>
      </c>
      <c r="J19" s="61">
        <f>IF(F19&lt;=H19,H19,IF(AND(F19&gt;H19,F19&lt;=I19),F19,I19))</f>
        <v>0</v>
      </c>
      <c r="K19" s="74">
        <f>J19-E19</f>
        <v>0</v>
      </c>
      <c r="L19" s="74">
        <f>G19-E19</f>
        <v>300000</v>
      </c>
    </row>
    <row r="20" spans="1:12" ht="29" x14ac:dyDescent="0.35">
      <c r="A20" s="26" t="s">
        <v>48</v>
      </c>
      <c r="B20" s="27" t="s">
        <v>49</v>
      </c>
      <c r="C20" s="27" t="s">
        <v>51</v>
      </c>
      <c r="D20" s="28">
        <v>0</v>
      </c>
      <c r="E20" s="59"/>
      <c r="F20" s="29">
        <v>125000</v>
      </c>
      <c r="G20" s="60"/>
      <c r="H20" s="74"/>
      <c r="I20" s="74"/>
      <c r="J20" s="61"/>
      <c r="K20" s="74"/>
      <c r="L20" s="74"/>
    </row>
    <row r="21" spans="1:12" x14ac:dyDescent="0.35">
      <c r="A21" s="4" t="s">
        <v>52</v>
      </c>
      <c r="B21" s="5" t="s">
        <v>46</v>
      </c>
      <c r="C21" s="5" t="s">
        <v>53</v>
      </c>
      <c r="D21" s="6">
        <v>130000</v>
      </c>
      <c r="E21" s="65">
        <f>D21+D22+D23+D24+D25</f>
        <v>562855</v>
      </c>
      <c r="F21" s="8">
        <v>175000</v>
      </c>
      <c r="G21" s="68">
        <f>F21+F22+F23+F24+F25</f>
        <v>450000</v>
      </c>
      <c r="H21" s="62">
        <f>E21*0.9</f>
        <v>506569.5</v>
      </c>
      <c r="I21" s="62">
        <f>1.1*E21</f>
        <v>619140.5</v>
      </c>
      <c r="J21" s="71">
        <f>IF(G21&lt;=H21,H21,IF(AND(G21&gt;H21,G21&lt;=I21),G21,I21))</f>
        <v>506569.5</v>
      </c>
      <c r="K21" s="62">
        <f>J21-E21</f>
        <v>-56285.5</v>
      </c>
      <c r="L21" s="62">
        <f>G21-E21</f>
        <v>-112855</v>
      </c>
    </row>
    <row r="22" spans="1:12" x14ac:dyDescent="0.35">
      <c r="A22" s="4" t="s">
        <v>52</v>
      </c>
      <c r="B22" s="5" t="s">
        <v>46</v>
      </c>
      <c r="C22" s="5" t="s">
        <v>54</v>
      </c>
      <c r="D22" s="6">
        <v>133855</v>
      </c>
      <c r="E22" s="66"/>
      <c r="F22" s="8">
        <v>125000</v>
      </c>
      <c r="G22" s="69"/>
      <c r="H22" s="63"/>
      <c r="I22" s="63"/>
      <c r="J22" s="72"/>
      <c r="K22" s="63"/>
      <c r="L22" s="63"/>
    </row>
    <row r="23" spans="1:12" x14ac:dyDescent="0.35">
      <c r="A23" s="4" t="s">
        <v>52</v>
      </c>
      <c r="B23" s="5" t="s">
        <v>46</v>
      </c>
      <c r="C23" s="5" t="s">
        <v>55</v>
      </c>
      <c r="D23" s="6">
        <v>119000</v>
      </c>
      <c r="E23" s="66"/>
      <c r="F23" s="8">
        <v>50000</v>
      </c>
      <c r="G23" s="69"/>
      <c r="H23" s="63"/>
      <c r="I23" s="63"/>
      <c r="J23" s="72"/>
      <c r="K23" s="63"/>
      <c r="L23" s="63"/>
    </row>
    <row r="24" spans="1:12" x14ac:dyDescent="0.35">
      <c r="A24" s="4" t="s">
        <v>52</v>
      </c>
      <c r="B24" s="5" t="s">
        <v>46</v>
      </c>
      <c r="C24" s="5" t="s">
        <v>56</v>
      </c>
      <c r="D24" s="6">
        <v>100000</v>
      </c>
      <c r="E24" s="66"/>
      <c r="F24" s="8">
        <v>50000</v>
      </c>
      <c r="G24" s="69"/>
      <c r="H24" s="63"/>
      <c r="I24" s="63"/>
      <c r="J24" s="72"/>
      <c r="K24" s="63"/>
      <c r="L24" s="63"/>
    </row>
    <row r="25" spans="1:12" x14ac:dyDescent="0.35">
      <c r="A25" s="4" t="s">
        <v>52</v>
      </c>
      <c r="B25" s="5" t="s">
        <v>46</v>
      </c>
      <c r="C25" s="5" t="s">
        <v>57</v>
      </c>
      <c r="D25" s="6">
        <v>80000</v>
      </c>
      <c r="E25" s="67"/>
      <c r="F25" s="8">
        <v>50000</v>
      </c>
      <c r="G25" s="70"/>
      <c r="H25" s="64"/>
      <c r="I25" s="64"/>
      <c r="J25" s="73"/>
      <c r="K25" s="64"/>
      <c r="L25" s="64"/>
    </row>
    <row r="26" spans="1:12" ht="29" x14ac:dyDescent="0.35">
      <c r="A26" s="4" t="s">
        <v>58</v>
      </c>
      <c r="B26" s="5" t="s">
        <v>59</v>
      </c>
      <c r="C26" s="5" t="s">
        <v>60</v>
      </c>
      <c r="D26" s="6">
        <v>44307</v>
      </c>
      <c r="E26" s="7">
        <f t="shared" ref="E26:E30" si="1">D26</f>
        <v>44307</v>
      </c>
      <c r="F26" s="8">
        <v>175000</v>
      </c>
      <c r="G26" s="9">
        <f t="shared" ref="G26:G30" si="2">F26</f>
        <v>175000</v>
      </c>
      <c r="H26" s="10">
        <f t="shared" ref="H26:H31" si="3">E26*0.9</f>
        <v>39876.300000000003</v>
      </c>
      <c r="I26" s="10">
        <f>1.1*E26</f>
        <v>48737.700000000004</v>
      </c>
      <c r="J26" s="11">
        <f>IF(G26&lt;=H26,H26,IF(AND(G26&gt;H26,G26&lt;=I26),G26,I26))</f>
        <v>48737.700000000004</v>
      </c>
      <c r="K26" s="10">
        <f>J26-E26</f>
        <v>4430.7000000000044</v>
      </c>
      <c r="L26" s="10">
        <f t="shared" ref="L26:L30" si="4">G26-E26</f>
        <v>130693</v>
      </c>
    </row>
    <row r="27" spans="1:12" ht="29" x14ac:dyDescent="0.35">
      <c r="A27" s="4" t="s">
        <v>52</v>
      </c>
      <c r="B27" s="5" t="s">
        <v>59</v>
      </c>
      <c r="C27" s="5" t="s">
        <v>61</v>
      </c>
      <c r="D27" s="6">
        <v>140000</v>
      </c>
      <c r="E27" s="7">
        <f t="shared" si="1"/>
        <v>140000</v>
      </c>
      <c r="F27" s="8">
        <v>175000</v>
      </c>
      <c r="G27" s="9">
        <f>F27</f>
        <v>175000</v>
      </c>
      <c r="H27" s="10">
        <f t="shared" si="3"/>
        <v>126000</v>
      </c>
      <c r="I27" s="10">
        <f>1.1*E27</f>
        <v>154000</v>
      </c>
      <c r="J27" s="11">
        <f>IF(G27&lt;=H27,H27,IF(AND(G27&gt;H27,G27&lt;=I27),G27,I27))</f>
        <v>154000</v>
      </c>
      <c r="K27" s="10">
        <f>J27-E27</f>
        <v>14000</v>
      </c>
      <c r="L27" s="10">
        <f t="shared" si="4"/>
        <v>35000</v>
      </c>
    </row>
    <row r="28" spans="1:12" x14ac:dyDescent="0.35">
      <c r="A28" s="4" t="s">
        <v>62</v>
      </c>
      <c r="B28" s="5" t="s">
        <v>63</v>
      </c>
      <c r="C28" s="5" t="s">
        <v>64</v>
      </c>
      <c r="D28" s="6">
        <v>142000</v>
      </c>
      <c r="E28" s="7">
        <f t="shared" si="1"/>
        <v>142000</v>
      </c>
      <c r="F28" s="8">
        <v>175000</v>
      </c>
      <c r="G28" s="9">
        <f t="shared" si="2"/>
        <v>175000</v>
      </c>
      <c r="H28" s="10">
        <f t="shared" si="3"/>
        <v>127800</v>
      </c>
      <c r="I28" s="10">
        <f t="shared" ref="I28:I30" si="5">1.1*E28</f>
        <v>156200</v>
      </c>
      <c r="J28" s="11">
        <f t="shared" si="0"/>
        <v>156200</v>
      </c>
      <c r="K28" s="10">
        <f>J28-E28</f>
        <v>14200</v>
      </c>
      <c r="L28" s="10">
        <f t="shared" si="4"/>
        <v>33000</v>
      </c>
    </row>
    <row r="29" spans="1:12" ht="29" x14ac:dyDescent="0.35">
      <c r="A29" s="4" t="s">
        <v>65</v>
      </c>
      <c r="B29" s="5" t="s">
        <v>66</v>
      </c>
      <c r="C29" s="5" t="s">
        <v>67</v>
      </c>
      <c r="D29" s="6">
        <v>120000</v>
      </c>
      <c r="E29" s="7">
        <f t="shared" si="1"/>
        <v>120000</v>
      </c>
      <c r="F29" s="8">
        <v>175000</v>
      </c>
      <c r="G29" s="9">
        <f t="shared" si="2"/>
        <v>175000</v>
      </c>
      <c r="H29" s="10">
        <f t="shared" si="3"/>
        <v>108000</v>
      </c>
      <c r="I29" s="10">
        <f t="shared" si="5"/>
        <v>132000</v>
      </c>
      <c r="J29" s="11">
        <f t="shared" si="0"/>
        <v>132000</v>
      </c>
      <c r="K29" s="10">
        <f t="shared" ref="K29:K30" si="6">J29-E29</f>
        <v>12000</v>
      </c>
      <c r="L29" s="10">
        <f t="shared" si="4"/>
        <v>55000</v>
      </c>
    </row>
    <row r="30" spans="1:12" ht="29" x14ac:dyDescent="0.35">
      <c r="A30" s="4" t="s">
        <v>68</v>
      </c>
      <c r="B30" s="5" t="s">
        <v>69</v>
      </c>
      <c r="C30" s="5" t="s">
        <v>70</v>
      </c>
      <c r="D30" s="6">
        <v>120000</v>
      </c>
      <c r="E30" s="7">
        <f t="shared" si="1"/>
        <v>120000</v>
      </c>
      <c r="F30" s="8">
        <v>175000</v>
      </c>
      <c r="G30" s="9">
        <f t="shared" si="2"/>
        <v>175000</v>
      </c>
      <c r="H30" s="10">
        <f t="shared" si="3"/>
        <v>108000</v>
      </c>
      <c r="I30" s="10">
        <f t="shared" si="5"/>
        <v>132000</v>
      </c>
      <c r="J30" s="11">
        <f t="shared" si="0"/>
        <v>132000</v>
      </c>
      <c r="K30" s="10">
        <f t="shared" si="6"/>
        <v>12000</v>
      </c>
      <c r="L30" s="10">
        <f t="shared" si="4"/>
        <v>55000</v>
      </c>
    </row>
    <row r="31" spans="1:12" ht="29" x14ac:dyDescent="0.35">
      <c r="A31" s="4" t="s">
        <v>71</v>
      </c>
      <c r="B31" s="5" t="s">
        <v>72</v>
      </c>
      <c r="C31" s="5" t="s">
        <v>73</v>
      </c>
      <c r="D31" s="6">
        <v>100000</v>
      </c>
      <c r="E31" s="65">
        <f>D31+D32+D33+D34+D35</f>
        <v>374000</v>
      </c>
      <c r="F31" s="8">
        <v>175000</v>
      </c>
      <c r="G31" s="68">
        <f>SUM(F31:F34)</f>
        <v>400000</v>
      </c>
      <c r="H31" s="62">
        <f t="shared" si="3"/>
        <v>336600</v>
      </c>
      <c r="I31" s="62">
        <f>1.1*E31</f>
        <v>411400.00000000006</v>
      </c>
      <c r="J31" s="71">
        <f>IF(G31&lt;=H31,H31,IF(AND(G31&gt;H31,G31&lt;=I31),G31,I31))</f>
        <v>400000</v>
      </c>
      <c r="K31" s="62">
        <f>J31-E31</f>
        <v>26000</v>
      </c>
      <c r="L31" s="62">
        <f>G31-E31</f>
        <v>26000</v>
      </c>
    </row>
    <row r="32" spans="1:12" ht="29" x14ac:dyDescent="0.35">
      <c r="A32" s="4" t="s">
        <v>71</v>
      </c>
      <c r="B32" s="5" t="s">
        <v>72</v>
      </c>
      <c r="C32" s="5" t="s">
        <v>74</v>
      </c>
      <c r="D32" s="6">
        <v>120000</v>
      </c>
      <c r="E32" s="66"/>
      <c r="F32" s="8">
        <v>125000</v>
      </c>
      <c r="G32" s="69"/>
      <c r="H32" s="63"/>
      <c r="I32" s="63"/>
      <c r="J32" s="72"/>
      <c r="K32" s="63"/>
      <c r="L32" s="63"/>
    </row>
    <row r="33" spans="1:12" ht="29" x14ac:dyDescent="0.35">
      <c r="A33" s="4" t="s">
        <v>71</v>
      </c>
      <c r="B33" s="5" t="s">
        <v>72</v>
      </c>
      <c r="C33" s="5" t="s">
        <v>75</v>
      </c>
      <c r="D33" s="6">
        <v>104000</v>
      </c>
      <c r="E33" s="66"/>
      <c r="F33" s="8">
        <v>50000</v>
      </c>
      <c r="G33" s="69"/>
      <c r="H33" s="63"/>
      <c r="I33" s="63"/>
      <c r="J33" s="72"/>
      <c r="K33" s="63"/>
      <c r="L33" s="63"/>
    </row>
    <row r="34" spans="1:12" ht="29" x14ac:dyDescent="0.35">
      <c r="A34" s="4" t="s">
        <v>71</v>
      </c>
      <c r="B34" s="5" t="s">
        <v>72</v>
      </c>
      <c r="C34" s="5" t="s">
        <v>76</v>
      </c>
      <c r="D34" s="18">
        <v>50000</v>
      </c>
      <c r="E34" s="66"/>
      <c r="F34" s="8">
        <v>50000</v>
      </c>
      <c r="G34" s="69"/>
      <c r="H34" s="63"/>
      <c r="I34" s="63"/>
      <c r="J34" s="72"/>
      <c r="K34" s="63"/>
      <c r="L34" s="63"/>
    </row>
    <row r="35" spans="1:12" ht="29" x14ac:dyDescent="0.35">
      <c r="A35" s="4" t="s">
        <v>71</v>
      </c>
      <c r="B35" s="5" t="s">
        <v>72</v>
      </c>
      <c r="C35" s="5" t="s">
        <v>77</v>
      </c>
      <c r="D35" s="30">
        <v>0</v>
      </c>
      <c r="E35" s="67"/>
      <c r="F35" s="8">
        <v>0</v>
      </c>
      <c r="G35" s="70"/>
      <c r="H35" s="64"/>
      <c r="I35" s="64"/>
      <c r="J35" s="73"/>
      <c r="K35" s="64"/>
      <c r="L35" s="64"/>
    </row>
    <row r="36" spans="1:12" x14ac:dyDescent="0.35">
      <c r="A36" s="4" t="s">
        <v>71</v>
      </c>
      <c r="B36" s="5" t="s">
        <v>78</v>
      </c>
      <c r="C36" s="5" t="s">
        <v>77</v>
      </c>
      <c r="D36" s="18">
        <v>50000</v>
      </c>
      <c r="E36" s="59">
        <f>D37+D38+D39++D40+D41+D42+D43+D44+D36</f>
        <v>238451</v>
      </c>
      <c r="F36" s="8">
        <v>175000</v>
      </c>
      <c r="G36" s="60">
        <f>SUM(F36:F44)</f>
        <v>650000</v>
      </c>
      <c r="H36" s="58">
        <f>E36*0.9</f>
        <v>214605.9</v>
      </c>
      <c r="I36" s="58">
        <f>1.1*E36</f>
        <v>262296.10000000003</v>
      </c>
      <c r="J36" s="61">
        <f>IF(G36&lt;=H36,H36,IF(AND(G36&gt;H36,G36&lt;=I36),G36,I36))</f>
        <v>262296.10000000003</v>
      </c>
      <c r="K36" s="58">
        <f>J36-E36</f>
        <v>23845.100000000035</v>
      </c>
      <c r="L36" s="58">
        <f>G36-E36</f>
        <v>411549</v>
      </c>
    </row>
    <row r="37" spans="1:12" x14ac:dyDescent="0.35">
      <c r="A37" s="4" t="s">
        <v>71</v>
      </c>
      <c r="B37" s="5" t="s">
        <v>78</v>
      </c>
      <c r="C37" s="5" t="s">
        <v>79</v>
      </c>
      <c r="D37" s="6">
        <v>70000</v>
      </c>
      <c r="E37" s="59"/>
      <c r="F37" s="8">
        <v>125000</v>
      </c>
      <c r="G37" s="60"/>
      <c r="H37" s="58"/>
      <c r="I37" s="58"/>
      <c r="J37" s="61"/>
      <c r="K37" s="58"/>
      <c r="L37" s="58"/>
    </row>
    <row r="38" spans="1:12" x14ac:dyDescent="0.35">
      <c r="A38" s="4" t="s">
        <v>71</v>
      </c>
      <c r="B38" s="5" t="s">
        <v>78</v>
      </c>
      <c r="C38" s="5" t="s">
        <v>80</v>
      </c>
      <c r="D38" s="6">
        <v>68451</v>
      </c>
      <c r="E38" s="59"/>
      <c r="F38" s="8">
        <v>50000</v>
      </c>
      <c r="G38" s="60"/>
      <c r="H38" s="58"/>
      <c r="I38" s="58"/>
      <c r="J38" s="61"/>
      <c r="K38" s="58"/>
      <c r="L38" s="58"/>
    </row>
    <row r="39" spans="1:12" x14ac:dyDescent="0.35">
      <c r="A39" s="4" t="s">
        <v>71</v>
      </c>
      <c r="B39" s="5" t="s">
        <v>78</v>
      </c>
      <c r="C39" s="5" t="s">
        <v>81</v>
      </c>
      <c r="D39" s="18">
        <v>50000</v>
      </c>
      <c r="E39" s="59"/>
      <c r="F39" s="8">
        <v>50000</v>
      </c>
      <c r="G39" s="60"/>
      <c r="H39" s="58"/>
      <c r="I39" s="58"/>
      <c r="J39" s="61"/>
      <c r="K39" s="58"/>
      <c r="L39" s="58"/>
    </row>
    <row r="40" spans="1:12" x14ac:dyDescent="0.35">
      <c r="A40" s="4" t="s">
        <v>71</v>
      </c>
      <c r="B40" s="5" t="s">
        <v>78</v>
      </c>
      <c r="C40" s="5" t="s">
        <v>82</v>
      </c>
      <c r="D40" s="18">
        <v>0</v>
      </c>
      <c r="E40" s="59"/>
      <c r="F40" s="8">
        <v>50000</v>
      </c>
      <c r="G40" s="60"/>
      <c r="H40" s="58"/>
      <c r="I40" s="58"/>
      <c r="J40" s="61"/>
      <c r="K40" s="58"/>
      <c r="L40" s="58"/>
    </row>
    <row r="41" spans="1:12" x14ac:dyDescent="0.35">
      <c r="A41" s="4" t="s">
        <v>71</v>
      </c>
      <c r="B41" s="5" t="s">
        <v>78</v>
      </c>
      <c r="C41" s="5" t="s">
        <v>83</v>
      </c>
      <c r="D41" s="18">
        <v>0</v>
      </c>
      <c r="E41" s="59"/>
      <c r="F41" s="8">
        <v>50000</v>
      </c>
      <c r="G41" s="60"/>
      <c r="H41" s="58"/>
      <c r="I41" s="58"/>
      <c r="J41" s="61"/>
      <c r="K41" s="58"/>
      <c r="L41" s="58"/>
    </row>
    <row r="42" spans="1:12" x14ac:dyDescent="0.35">
      <c r="A42" s="4" t="s">
        <v>71</v>
      </c>
      <c r="B42" s="5" t="s">
        <v>78</v>
      </c>
      <c r="C42" s="5" t="s">
        <v>84</v>
      </c>
      <c r="D42" s="18">
        <v>0</v>
      </c>
      <c r="E42" s="59"/>
      <c r="F42" s="8">
        <v>50000</v>
      </c>
      <c r="G42" s="60"/>
      <c r="H42" s="58"/>
      <c r="I42" s="58"/>
      <c r="J42" s="61"/>
      <c r="K42" s="58"/>
      <c r="L42" s="58"/>
    </row>
    <row r="43" spans="1:12" x14ac:dyDescent="0.35">
      <c r="A43" s="4" t="s">
        <v>71</v>
      </c>
      <c r="B43" s="5" t="s">
        <v>78</v>
      </c>
      <c r="C43" s="5" t="s">
        <v>85</v>
      </c>
      <c r="D43" s="18">
        <v>0</v>
      </c>
      <c r="E43" s="59"/>
      <c r="F43" s="8">
        <v>50000</v>
      </c>
      <c r="G43" s="60"/>
      <c r="H43" s="58"/>
      <c r="I43" s="58"/>
      <c r="J43" s="61"/>
      <c r="K43" s="58"/>
      <c r="L43" s="58"/>
    </row>
    <row r="44" spans="1:12" x14ac:dyDescent="0.35">
      <c r="A44" s="4" t="s">
        <v>71</v>
      </c>
      <c r="B44" s="5" t="s">
        <v>78</v>
      </c>
      <c r="C44" s="5" t="s">
        <v>86</v>
      </c>
      <c r="D44" s="18">
        <v>0</v>
      </c>
      <c r="E44" s="59"/>
      <c r="F44" s="8">
        <v>50000</v>
      </c>
      <c r="G44" s="60"/>
      <c r="H44" s="58"/>
      <c r="I44" s="58"/>
      <c r="J44" s="61"/>
      <c r="K44" s="58"/>
      <c r="L44" s="58"/>
    </row>
    <row r="45" spans="1:12" x14ac:dyDescent="0.35">
      <c r="A45" s="4" t="s">
        <v>87</v>
      </c>
      <c r="B45" s="5" t="s">
        <v>46</v>
      </c>
      <c r="C45" s="5" t="s">
        <v>88</v>
      </c>
      <c r="D45" s="6">
        <v>190000</v>
      </c>
      <c r="E45" s="7">
        <f>D45</f>
        <v>190000</v>
      </c>
      <c r="F45" s="8">
        <v>175000</v>
      </c>
      <c r="G45" s="9">
        <f>F45</f>
        <v>175000</v>
      </c>
      <c r="H45" s="10">
        <f>E45*0.9</f>
        <v>171000</v>
      </c>
      <c r="I45" s="10">
        <f>1.1*E45</f>
        <v>209000.00000000003</v>
      </c>
      <c r="J45" s="11">
        <f t="shared" si="0"/>
        <v>175000</v>
      </c>
      <c r="K45" s="10">
        <f>J45-E45</f>
        <v>-15000</v>
      </c>
      <c r="L45" s="10">
        <f>G45-E45</f>
        <v>-15000</v>
      </c>
    </row>
    <row r="46" spans="1:12" ht="29" x14ac:dyDescent="0.35">
      <c r="A46" s="4" t="s">
        <v>89</v>
      </c>
      <c r="B46" s="5" t="s">
        <v>90</v>
      </c>
      <c r="C46" s="5" t="s">
        <v>91</v>
      </c>
      <c r="D46" s="6">
        <v>42000</v>
      </c>
      <c r="E46" s="59">
        <f>D46+D47+D48+D49</f>
        <v>217200</v>
      </c>
      <c r="F46" s="8">
        <v>175000</v>
      </c>
      <c r="G46" s="60">
        <f>SUM(F46:F50)</f>
        <v>450000</v>
      </c>
      <c r="H46" s="58">
        <f>E46*0.9</f>
        <v>195480</v>
      </c>
      <c r="I46" s="58">
        <f>1.1*E46</f>
        <v>238920.00000000003</v>
      </c>
      <c r="J46" s="61">
        <f>IF(G46&lt;=H46,H46,IF(AND(G46&gt;H46,G46&lt;=I46),G46,I46))</f>
        <v>238920.00000000003</v>
      </c>
      <c r="K46" s="58">
        <f>J46-E46</f>
        <v>21720.000000000029</v>
      </c>
      <c r="L46" s="58">
        <f>G46-E46</f>
        <v>232800</v>
      </c>
    </row>
    <row r="47" spans="1:12" ht="29" x14ac:dyDescent="0.35">
      <c r="A47" s="4" t="s">
        <v>89</v>
      </c>
      <c r="B47" s="5" t="s">
        <v>90</v>
      </c>
      <c r="C47" s="5" t="s">
        <v>92</v>
      </c>
      <c r="D47" s="6">
        <v>50000</v>
      </c>
      <c r="E47" s="59"/>
      <c r="F47" s="8">
        <v>125000</v>
      </c>
      <c r="G47" s="60"/>
      <c r="H47" s="58"/>
      <c r="I47" s="58"/>
      <c r="J47" s="61"/>
      <c r="K47" s="58"/>
      <c r="L47" s="58"/>
    </row>
    <row r="48" spans="1:12" ht="29" x14ac:dyDescent="0.35">
      <c r="A48" s="4" t="s">
        <v>89</v>
      </c>
      <c r="B48" s="5" t="s">
        <v>90</v>
      </c>
      <c r="C48" s="5" t="s">
        <v>93</v>
      </c>
      <c r="D48" s="6">
        <v>83200</v>
      </c>
      <c r="E48" s="59"/>
      <c r="F48" s="8">
        <v>50000</v>
      </c>
      <c r="G48" s="60"/>
      <c r="H48" s="58"/>
      <c r="I48" s="58"/>
      <c r="J48" s="61"/>
      <c r="K48" s="58"/>
      <c r="L48" s="58"/>
    </row>
    <row r="49" spans="1:12" ht="29" x14ac:dyDescent="0.35">
      <c r="A49" s="4" t="s">
        <v>89</v>
      </c>
      <c r="B49" s="5" t="s">
        <v>90</v>
      </c>
      <c r="C49" s="5" t="s">
        <v>94</v>
      </c>
      <c r="D49" s="6">
        <v>42000</v>
      </c>
      <c r="E49" s="59"/>
      <c r="F49" s="8">
        <v>50000</v>
      </c>
      <c r="G49" s="60"/>
      <c r="H49" s="58"/>
      <c r="I49" s="58"/>
      <c r="J49" s="61"/>
      <c r="K49" s="58"/>
      <c r="L49" s="58"/>
    </row>
    <row r="50" spans="1:12" ht="29" x14ac:dyDescent="0.35">
      <c r="A50" s="4" t="s">
        <v>89</v>
      </c>
      <c r="B50" s="5" t="s">
        <v>90</v>
      </c>
      <c r="C50" s="5" t="s">
        <v>95</v>
      </c>
      <c r="D50" s="6">
        <v>0</v>
      </c>
      <c r="E50" s="59"/>
      <c r="F50" s="8">
        <v>50000</v>
      </c>
      <c r="G50" s="60"/>
      <c r="H50" s="58"/>
      <c r="I50" s="58"/>
      <c r="J50" s="61"/>
      <c r="K50" s="58"/>
      <c r="L50" s="58"/>
    </row>
    <row r="51" spans="1:12" x14ac:dyDescent="0.35">
      <c r="A51" s="4" t="s">
        <v>96</v>
      </c>
      <c r="B51" s="5" t="s">
        <v>97</v>
      </c>
      <c r="C51" s="5" t="s">
        <v>98</v>
      </c>
      <c r="D51" s="6">
        <v>223830</v>
      </c>
      <c r="E51" s="7">
        <f>D51</f>
        <v>223830</v>
      </c>
      <c r="F51" s="8">
        <v>175000</v>
      </c>
      <c r="G51" s="9">
        <f>F51</f>
        <v>175000</v>
      </c>
      <c r="H51" s="10">
        <f>E51*0.9</f>
        <v>201447</v>
      </c>
      <c r="I51" s="10">
        <f>1.1*E51</f>
        <v>246213.00000000003</v>
      </c>
      <c r="J51" s="11">
        <f t="shared" si="0"/>
        <v>201447</v>
      </c>
      <c r="K51" s="10">
        <f>J51-E51</f>
        <v>-22383</v>
      </c>
      <c r="L51" s="10">
        <f>G51-E51</f>
        <v>-48830</v>
      </c>
    </row>
    <row r="52" spans="1:12" x14ac:dyDescent="0.35">
      <c r="A52" s="4" t="s">
        <v>96</v>
      </c>
      <c r="B52" s="5" t="s">
        <v>99</v>
      </c>
      <c r="C52" s="5" t="s">
        <v>100</v>
      </c>
      <c r="D52" s="6">
        <v>113000</v>
      </c>
      <c r="E52" s="59">
        <f>D52+D53</f>
        <v>233000</v>
      </c>
      <c r="F52" s="8">
        <v>175000</v>
      </c>
      <c r="G52" s="60">
        <f>SUM(F52:F53)</f>
        <v>300000</v>
      </c>
      <c r="H52" s="58">
        <f>E52*0.9</f>
        <v>209700</v>
      </c>
      <c r="I52" s="58">
        <f>1.1*E52</f>
        <v>256300.00000000003</v>
      </c>
      <c r="J52" s="61">
        <f>IF(G52&lt;=H52,H52,IF(AND(G52&gt;H52,G52&lt;=I52),G52,I52))</f>
        <v>256300.00000000003</v>
      </c>
      <c r="K52" s="58">
        <f>J52-E52</f>
        <v>23300.000000000029</v>
      </c>
      <c r="L52" s="58">
        <f>G52-E52</f>
        <v>67000</v>
      </c>
    </row>
    <row r="53" spans="1:12" x14ac:dyDescent="0.35">
      <c r="A53" s="4" t="s">
        <v>96</v>
      </c>
      <c r="B53" s="5" t="s">
        <v>99</v>
      </c>
      <c r="C53" s="5" t="s">
        <v>101</v>
      </c>
      <c r="D53" s="6">
        <v>120000</v>
      </c>
      <c r="E53" s="59"/>
      <c r="F53" s="8">
        <v>125000</v>
      </c>
      <c r="G53" s="60"/>
      <c r="H53" s="58"/>
      <c r="I53" s="58"/>
      <c r="J53" s="61"/>
      <c r="K53" s="58"/>
      <c r="L53" s="58"/>
    </row>
    <row r="54" spans="1:12" ht="29" x14ac:dyDescent="0.35">
      <c r="A54" s="31" t="s">
        <v>96</v>
      </c>
      <c r="B54" s="5" t="s">
        <v>102</v>
      </c>
      <c r="C54" s="5" t="s">
        <v>103</v>
      </c>
      <c r="D54" s="6">
        <v>140000</v>
      </c>
      <c r="E54" s="7">
        <f>D54</f>
        <v>140000</v>
      </c>
      <c r="F54" s="8">
        <v>175000</v>
      </c>
      <c r="G54" s="9">
        <f>F54</f>
        <v>175000</v>
      </c>
      <c r="H54" s="10">
        <f>E54*0.9</f>
        <v>126000</v>
      </c>
      <c r="I54" s="10">
        <f>1.1*E54</f>
        <v>154000</v>
      </c>
      <c r="J54" s="11">
        <f t="shared" si="0"/>
        <v>154000</v>
      </c>
      <c r="K54" s="10">
        <f>J54-E54</f>
        <v>14000</v>
      </c>
      <c r="L54" s="10">
        <f>G54-E54</f>
        <v>35000</v>
      </c>
    </row>
    <row r="55" spans="1:12" x14ac:dyDescent="0.35">
      <c r="A55" s="4" t="s">
        <v>96</v>
      </c>
      <c r="B55" s="5" t="s">
        <v>23</v>
      </c>
      <c r="C55" s="5" t="s">
        <v>104</v>
      </c>
      <c r="D55" s="6">
        <v>60000</v>
      </c>
      <c r="E55" s="7">
        <f>D55</f>
        <v>60000</v>
      </c>
      <c r="F55" s="8">
        <v>175000</v>
      </c>
      <c r="G55" s="9">
        <f>F55</f>
        <v>175000</v>
      </c>
      <c r="H55" s="10">
        <f>E55*0.9</f>
        <v>54000</v>
      </c>
      <c r="I55" s="10">
        <f>1.5*E55</f>
        <v>90000</v>
      </c>
      <c r="J55" s="11">
        <f t="shared" si="0"/>
        <v>90000</v>
      </c>
      <c r="K55" s="10">
        <f>J55-E55</f>
        <v>30000</v>
      </c>
      <c r="L55" s="10">
        <f>G55-E55</f>
        <v>115000</v>
      </c>
    </row>
    <row r="56" spans="1:12" ht="29" x14ac:dyDescent="0.35">
      <c r="A56" s="4" t="s">
        <v>105</v>
      </c>
      <c r="B56" s="5" t="s">
        <v>106</v>
      </c>
      <c r="C56" s="5" t="s">
        <v>107</v>
      </c>
      <c r="D56" s="6">
        <v>41000</v>
      </c>
      <c r="E56" s="59">
        <f>D56+D57+D58+D59</f>
        <v>164000</v>
      </c>
      <c r="F56" s="8">
        <v>175000</v>
      </c>
      <c r="G56" s="60">
        <f>SUM(F56:F59)</f>
        <v>400000</v>
      </c>
      <c r="H56" s="58">
        <f>E56*0.9</f>
        <v>147600</v>
      </c>
      <c r="I56" s="58">
        <f>1.1*E56</f>
        <v>180400.00000000003</v>
      </c>
      <c r="J56" s="61">
        <f>IF(G56&lt;=H56,H56,IF(AND(G56&gt;H56,G56&lt;=I56),G56,I56))</f>
        <v>180400.00000000003</v>
      </c>
      <c r="K56" s="58">
        <f>J56-E56</f>
        <v>16400.000000000029</v>
      </c>
      <c r="L56" s="58">
        <f>G56-E56</f>
        <v>236000</v>
      </c>
    </row>
    <row r="57" spans="1:12" ht="29" x14ac:dyDescent="0.35">
      <c r="A57" s="4" t="s">
        <v>105</v>
      </c>
      <c r="B57" s="5" t="s">
        <v>106</v>
      </c>
      <c r="C57" s="5" t="s">
        <v>108</v>
      </c>
      <c r="D57" s="6">
        <v>41000</v>
      </c>
      <c r="E57" s="59"/>
      <c r="F57" s="8">
        <v>125000</v>
      </c>
      <c r="G57" s="60"/>
      <c r="H57" s="58"/>
      <c r="I57" s="58"/>
      <c r="J57" s="61"/>
      <c r="K57" s="58"/>
      <c r="L57" s="58"/>
    </row>
    <row r="58" spans="1:12" ht="29" x14ac:dyDescent="0.35">
      <c r="A58" s="31" t="s">
        <v>105</v>
      </c>
      <c r="B58" s="5" t="s">
        <v>106</v>
      </c>
      <c r="C58" s="5" t="s">
        <v>109</v>
      </c>
      <c r="D58" s="6">
        <v>41000</v>
      </c>
      <c r="E58" s="59"/>
      <c r="F58" s="8">
        <v>50000</v>
      </c>
      <c r="G58" s="60"/>
      <c r="H58" s="58"/>
      <c r="I58" s="58"/>
      <c r="J58" s="61"/>
      <c r="K58" s="58"/>
      <c r="L58" s="58"/>
    </row>
    <row r="59" spans="1:12" ht="29" x14ac:dyDescent="0.35">
      <c r="A59" s="4" t="s">
        <v>105</v>
      </c>
      <c r="B59" s="5" t="s">
        <v>106</v>
      </c>
      <c r="C59" s="5" t="s">
        <v>110</v>
      </c>
      <c r="D59" s="6">
        <v>41000</v>
      </c>
      <c r="E59" s="59"/>
      <c r="F59" s="8">
        <v>50000</v>
      </c>
      <c r="G59" s="60"/>
      <c r="H59" s="58"/>
      <c r="I59" s="58"/>
      <c r="J59" s="61"/>
      <c r="K59" s="58"/>
      <c r="L59" s="58"/>
    </row>
    <row r="60" spans="1:12" x14ac:dyDescent="0.35">
      <c r="A60" s="4" t="s">
        <v>111</v>
      </c>
      <c r="B60" s="5" t="s">
        <v>112</v>
      </c>
      <c r="C60" s="5" t="s">
        <v>113</v>
      </c>
      <c r="D60" s="18">
        <v>140000</v>
      </c>
      <c r="E60" s="32">
        <f>D60</f>
        <v>140000</v>
      </c>
      <c r="F60" s="8">
        <v>175000</v>
      </c>
      <c r="G60" s="9">
        <f>F60</f>
        <v>175000</v>
      </c>
      <c r="H60" s="10">
        <f>E60*0.9</f>
        <v>126000</v>
      </c>
      <c r="I60" s="10">
        <f>1.1*E60</f>
        <v>154000</v>
      </c>
      <c r="J60" s="11">
        <f t="shared" si="0"/>
        <v>154000</v>
      </c>
      <c r="K60" s="10">
        <f>J60-E60</f>
        <v>14000</v>
      </c>
      <c r="L60" s="10">
        <f>G60-E60</f>
        <v>35000</v>
      </c>
    </row>
    <row r="61" spans="1:12" ht="29" x14ac:dyDescent="0.35">
      <c r="A61" s="4" t="s">
        <v>114</v>
      </c>
      <c r="B61" s="5" t="s">
        <v>115</v>
      </c>
      <c r="C61" s="5" t="s">
        <v>116</v>
      </c>
      <c r="D61" s="6">
        <v>80000</v>
      </c>
      <c r="E61" s="7">
        <f>D61</f>
        <v>80000</v>
      </c>
      <c r="F61" s="8">
        <v>175000</v>
      </c>
      <c r="G61" s="9">
        <f>F61</f>
        <v>175000</v>
      </c>
      <c r="H61" s="10">
        <f>E61*0.9</f>
        <v>72000</v>
      </c>
      <c r="I61" s="10">
        <f>1.1*E61</f>
        <v>88000</v>
      </c>
      <c r="J61" s="11">
        <f t="shared" si="0"/>
        <v>88000</v>
      </c>
      <c r="K61" s="10">
        <f>J61-E61</f>
        <v>8000</v>
      </c>
      <c r="L61" s="10">
        <f>G61-E61</f>
        <v>95000</v>
      </c>
    </row>
    <row r="62" spans="1:12" ht="29" x14ac:dyDescent="0.35">
      <c r="A62" s="4" t="s">
        <v>117</v>
      </c>
      <c r="B62" s="22" t="s">
        <v>118</v>
      </c>
      <c r="C62" s="5" t="s">
        <v>119</v>
      </c>
      <c r="D62" s="6">
        <v>77000</v>
      </c>
      <c r="E62" s="59">
        <f>D62+D64+D68+D69+D70+D65+D66+D67+D63</f>
        <v>475588</v>
      </c>
      <c r="F62" s="8">
        <v>175000</v>
      </c>
      <c r="G62" s="60">
        <f>SUM(F62:F70)</f>
        <v>650000</v>
      </c>
      <c r="H62" s="58">
        <f>E62*0.9</f>
        <v>428029.2</v>
      </c>
      <c r="I62" s="58">
        <f>1.1*E62</f>
        <v>523146.80000000005</v>
      </c>
      <c r="J62" s="61">
        <f>IF(G62&lt;=H62,H62,IF(AND(G62&gt;H62,G62&lt;=I62),G62,I62))</f>
        <v>523146.80000000005</v>
      </c>
      <c r="K62" s="58">
        <f>J62-E62</f>
        <v>47558.800000000047</v>
      </c>
      <c r="L62" s="58">
        <f>G62-E62</f>
        <v>174412</v>
      </c>
    </row>
    <row r="63" spans="1:12" ht="29" x14ac:dyDescent="0.35">
      <c r="A63" s="4" t="s">
        <v>117</v>
      </c>
      <c r="B63" s="22" t="s">
        <v>118</v>
      </c>
      <c r="C63" s="5" t="s">
        <v>120</v>
      </c>
      <c r="D63" s="6">
        <v>0</v>
      </c>
      <c r="E63" s="59"/>
      <c r="F63" s="8">
        <v>125000</v>
      </c>
      <c r="G63" s="60"/>
      <c r="H63" s="58"/>
      <c r="I63" s="58"/>
      <c r="J63" s="61"/>
      <c r="K63" s="58"/>
      <c r="L63" s="58"/>
    </row>
    <row r="64" spans="1:12" ht="29" x14ac:dyDescent="0.35">
      <c r="A64" s="4" t="s">
        <v>117</v>
      </c>
      <c r="B64" s="22" t="s">
        <v>118</v>
      </c>
      <c r="C64" s="5" t="s">
        <v>121</v>
      </c>
      <c r="D64" s="6">
        <v>121000</v>
      </c>
      <c r="E64" s="59"/>
      <c r="F64" s="8">
        <v>50000</v>
      </c>
      <c r="G64" s="60"/>
      <c r="H64" s="58"/>
      <c r="I64" s="58"/>
      <c r="J64" s="61"/>
      <c r="K64" s="58"/>
      <c r="L64" s="58"/>
    </row>
    <row r="65" spans="1:12" ht="29" x14ac:dyDescent="0.35">
      <c r="A65" s="4" t="s">
        <v>117</v>
      </c>
      <c r="B65" s="22" t="s">
        <v>118</v>
      </c>
      <c r="C65" s="5" t="s">
        <v>122</v>
      </c>
      <c r="D65" s="6">
        <v>0</v>
      </c>
      <c r="E65" s="59"/>
      <c r="F65" s="8">
        <v>50000</v>
      </c>
      <c r="G65" s="60"/>
      <c r="H65" s="58"/>
      <c r="I65" s="58"/>
      <c r="J65" s="61"/>
      <c r="K65" s="58"/>
      <c r="L65" s="58"/>
    </row>
    <row r="66" spans="1:12" ht="29" x14ac:dyDescent="0.35">
      <c r="A66" s="4" t="s">
        <v>117</v>
      </c>
      <c r="B66" s="22" t="s">
        <v>118</v>
      </c>
      <c r="C66" s="5" t="s">
        <v>123</v>
      </c>
      <c r="D66" s="6">
        <v>0</v>
      </c>
      <c r="E66" s="59"/>
      <c r="F66" s="8">
        <v>50000</v>
      </c>
      <c r="G66" s="60"/>
      <c r="H66" s="58"/>
      <c r="I66" s="58"/>
      <c r="J66" s="61"/>
      <c r="K66" s="58"/>
      <c r="L66" s="58"/>
    </row>
    <row r="67" spans="1:12" ht="29" x14ac:dyDescent="0.35">
      <c r="A67" s="4" t="s">
        <v>117</v>
      </c>
      <c r="B67" s="22" t="s">
        <v>118</v>
      </c>
      <c r="C67" s="5" t="s">
        <v>124</v>
      </c>
      <c r="D67" s="6">
        <v>0</v>
      </c>
      <c r="E67" s="59"/>
      <c r="F67" s="8">
        <v>50000</v>
      </c>
      <c r="G67" s="60"/>
      <c r="H67" s="58"/>
      <c r="I67" s="58"/>
      <c r="J67" s="61"/>
      <c r="K67" s="58"/>
      <c r="L67" s="58"/>
    </row>
    <row r="68" spans="1:12" ht="29" x14ac:dyDescent="0.35">
      <c r="A68" s="4" t="s">
        <v>117</v>
      </c>
      <c r="B68" s="22" t="s">
        <v>118</v>
      </c>
      <c r="C68" s="5" t="s">
        <v>125</v>
      </c>
      <c r="D68" s="6">
        <v>50000</v>
      </c>
      <c r="E68" s="59"/>
      <c r="F68" s="8">
        <v>50000</v>
      </c>
      <c r="G68" s="60"/>
      <c r="H68" s="58"/>
      <c r="I68" s="58"/>
      <c r="J68" s="61"/>
      <c r="K68" s="58"/>
      <c r="L68" s="58"/>
    </row>
    <row r="69" spans="1:12" ht="29" x14ac:dyDescent="0.35">
      <c r="A69" s="4" t="s">
        <v>117</v>
      </c>
      <c r="B69" s="22" t="s">
        <v>118</v>
      </c>
      <c r="C69" s="5" t="s">
        <v>126</v>
      </c>
      <c r="D69" s="6">
        <v>182076</v>
      </c>
      <c r="E69" s="59"/>
      <c r="F69" s="8">
        <v>50000</v>
      </c>
      <c r="G69" s="60"/>
      <c r="H69" s="58"/>
      <c r="I69" s="58"/>
      <c r="J69" s="61"/>
      <c r="K69" s="58"/>
      <c r="L69" s="58"/>
    </row>
    <row r="70" spans="1:12" ht="29" x14ac:dyDescent="0.35">
      <c r="A70" s="4" t="s">
        <v>117</v>
      </c>
      <c r="B70" s="22" t="s">
        <v>118</v>
      </c>
      <c r="C70" s="5" t="s">
        <v>127</v>
      </c>
      <c r="D70" s="6">
        <v>45512</v>
      </c>
      <c r="E70" s="59"/>
      <c r="F70" s="8">
        <v>50000</v>
      </c>
      <c r="G70" s="60"/>
      <c r="H70" s="58"/>
      <c r="I70" s="58"/>
      <c r="J70" s="61"/>
      <c r="K70" s="58"/>
      <c r="L70" s="58"/>
    </row>
    <row r="71" spans="1:12" x14ac:dyDescent="0.35">
      <c r="A71" s="33" t="s">
        <v>117</v>
      </c>
      <c r="B71" s="34" t="s">
        <v>128</v>
      </c>
      <c r="C71" s="34" t="s">
        <v>129</v>
      </c>
      <c r="D71" s="28">
        <v>0</v>
      </c>
      <c r="E71" s="7">
        <v>0</v>
      </c>
      <c r="F71" s="29">
        <v>175000</v>
      </c>
      <c r="G71" s="9">
        <f>F71</f>
        <v>175000</v>
      </c>
      <c r="H71" s="35">
        <f>E71*0.9</f>
        <v>0</v>
      </c>
      <c r="I71" s="35">
        <f>1.1*E71</f>
        <v>0</v>
      </c>
      <c r="J71" s="11">
        <f t="shared" si="0"/>
        <v>0</v>
      </c>
      <c r="K71" s="35">
        <f>J71-E71</f>
        <v>0</v>
      </c>
      <c r="L71" s="35">
        <f>G71-E71</f>
        <v>175000</v>
      </c>
    </row>
    <row r="72" spans="1:12" x14ac:dyDescent="0.35">
      <c r="A72" s="4" t="s">
        <v>130</v>
      </c>
      <c r="B72" s="22" t="s">
        <v>131</v>
      </c>
      <c r="C72" s="22" t="s">
        <v>132</v>
      </c>
      <c r="D72" s="23">
        <v>52000</v>
      </c>
      <c r="E72" s="7">
        <v>52000</v>
      </c>
      <c r="F72" s="8">
        <v>175000</v>
      </c>
      <c r="G72" s="9">
        <f>F72</f>
        <v>175000</v>
      </c>
      <c r="H72" s="10">
        <f>E72*0.9</f>
        <v>46800</v>
      </c>
      <c r="I72" s="10">
        <f>1.5*E72</f>
        <v>78000</v>
      </c>
      <c r="J72" s="11">
        <f t="shared" si="0"/>
        <v>78000</v>
      </c>
      <c r="K72" s="36">
        <f>J72-E72</f>
        <v>26000</v>
      </c>
      <c r="L72" s="36">
        <f>G72-E72</f>
        <v>123000</v>
      </c>
    </row>
    <row r="73" spans="1:12" x14ac:dyDescent="0.35">
      <c r="A73" s="4" t="s">
        <v>133</v>
      </c>
      <c r="B73" s="5" t="s">
        <v>134</v>
      </c>
      <c r="C73" s="5" t="s">
        <v>135</v>
      </c>
      <c r="D73" s="6">
        <v>140000</v>
      </c>
      <c r="E73" s="7">
        <f>D73</f>
        <v>140000</v>
      </c>
      <c r="F73" s="8">
        <v>175000</v>
      </c>
      <c r="G73" s="9">
        <f>F73</f>
        <v>175000</v>
      </c>
      <c r="H73" s="10">
        <f>E73*0.9</f>
        <v>126000</v>
      </c>
      <c r="I73" s="10">
        <f>1.1*E73</f>
        <v>154000</v>
      </c>
      <c r="J73" s="11">
        <f t="shared" si="0"/>
        <v>154000</v>
      </c>
      <c r="K73" s="36">
        <f>J73-E73</f>
        <v>14000</v>
      </c>
      <c r="L73" s="36">
        <f>G73-E73</f>
        <v>35000</v>
      </c>
    </row>
    <row r="74" spans="1:12" ht="29" x14ac:dyDescent="0.35">
      <c r="A74" s="4" t="s">
        <v>136</v>
      </c>
      <c r="B74" s="5" t="s">
        <v>137</v>
      </c>
      <c r="C74" s="5" t="s">
        <v>138</v>
      </c>
      <c r="D74" s="6">
        <v>166000</v>
      </c>
      <c r="E74" s="59">
        <f>D74+D75</f>
        <v>332000</v>
      </c>
      <c r="F74" s="8">
        <v>175000</v>
      </c>
      <c r="G74" s="60">
        <f>SUM(F74:F75)</f>
        <v>300000</v>
      </c>
      <c r="H74" s="58">
        <f>E74*0.9</f>
        <v>298800</v>
      </c>
      <c r="I74" s="58">
        <f>1.1*E74</f>
        <v>365200.00000000006</v>
      </c>
      <c r="J74" s="61">
        <f>IF(G74&lt;=H74,H74,IF(AND(G74&gt;H74,G74&lt;=I74),G74,I74))</f>
        <v>300000</v>
      </c>
      <c r="K74" s="58">
        <f>J74-E74</f>
        <v>-32000</v>
      </c>
      <c r="L74" s="58">
        <f>G74-E74</f>
        <v>-32000</v>
      </c>
    </row>
    <row r="75" spans="1:12" ht="29" x14ac:dyDescent="0.35">
      <c r="A75" s="4" t="s">
        <v>136</v>
      </c>
      <c r="B75" s="5" t="s">
        <v>137</v>
      </c>
      <c r="C75" s="5" t="s">
        <v>139</v>
      </c>
      <c r="D75" s="6">
        <v>166000</v>
      </c>
      <c r="E75" s="59"/>
      <c r="F75" s="8">
        <v>125000</v>
      </c>
      <c r="G75" s="60"/>
      <c r="H75" s="58"/>
      <c r="I75" s="58"/>
      <c r="J75" s="61"/>
      <c r="K75" s="58"/>
      <c r="L75" s="58"/>
    </row>
    <row r="76" spans="1:12" ht="43.5" x14ac:dyDescent="0.35">
      <c r="A76" s="4" t="s">
        <v>140</v>
      </c>
      <c r="B76" s="5" t="s">
        <v>141</v>
      </c>
      <c r="C76" s="5" t="s">
        <v>142</v>
      </c>
      <c r="D76" s="6">
        <v>192899.77</v>
      </c>
      <c r="E76" s="59">
        <f>D76+D77</f>
        <v>349999.99</v>
      </c>
      <c r="F76" s="8">
        <v>175000</v>
      </c>
      <c r="G76" s="60">
        <f>SUM(F76:F77)</f>
        <v>300000</v>
      </c>
      <c r="H76" s="58">
        <f>E76*0.9</f>
        <v>314999.99099999998</v>
      </c>
      <c r="I76" s="58">
        <f>1.1*E76</f>
        <v>384999.989</v>
      </c>
      <c r="J76" s="61">
        <f>IF(G76&lt;=H76,H76,IF(AND(G76&gt;H76,G76&lt;=I76),G76,I76))</f>
        <v>314999.99099999998</v>
      </c>
      <c r="K76" s="58">
        <f>J76-E76</f>
        <v>-34999.999000000011</v>
      </c>
      <c r="L76" s="58">
        <f>G76-E76</f>
        <v>-49999.989999999991</v>
      </c>
    </row>
    <row r="77" spans="1:12" ht="43.5" x14ac:dyDescent="0.35">
      <c r="A77" s="4" t="s">
        <v>140</v>
      </c>
      <c r="B77" s="5" t="s">
        <v>141</v>
      </c>
      <c r="C77" s="5" t="s">
        <v>143</v>
      </c>
      <c r="D77" s="6">
        <v>157100.22</v>
      </c>
      <c r="E77" s="59"/>
      <c r="F77" s="8">
        <v>125000</v>
      </c>
      <c r="G77" s="60"/>
      <c r="H77" s="58"/>
      <c r="I77" s="58"/>
      <c r="J77" s="61"/>
      <c r="K77" s="58"/>
      <c r="L77" s="58"/>
    </row>
    <row r="78" spans="1:12" ht="43.5" x14ac:dyDescent="0.35">
      <c r="A78" s="4" t="s">
        <v>144</v>
      </c>
      <c r="B78" s="5" t="s">
        <v>145</v>
      </c>
      <c r="C78" s="5" t="s">
        <v>146</v>
      </c>
      <c r="D78" s="18">
        <v>63750</v>
      </c>
      <c r="E78" s="59">
        <f>D78+D81+D80+D79</f>
        <v>170000</v>
      </c>
      <c r="F78" s="8">
        <v>175000</v>
      </c>
      <c r="G78" s="60">
        <f>SUM(F78:F81)</f>
        <v>400000</v>
      </c>
      <c r="H78" s="58">
        <f>E78*0.9</f>
        <v>153000</v>
      </c>
      <c r="I78" s="58">
        <f>1.1*E78</f>
        <v>187000.00000000003</v>
      </c>
      <c r="J78" s="61">
        <f>IF(G78&lt;=H78,H78,IF(AND(G78&gt;H78,G78&lt;=I78),G78,I78))</f>
        <v>187000.00000000003</v>
      </c>
      <c r="K78" s="58">
        <f>J78-E78</f>
        <v>17000.000000000029</v>
      </c>
      <c r="L78" s="58">
        <f>G78-E78</f>
        <v>230000</v>
      </c>
    </row>
    <row r="79" spans="1:12" ht="43.5" x14ac:dyDescent="0.35">
      <c r="A79" s="4" t="s">
        <v>144</v>
      </c>
      <c r="B79" s="5" t="s">
        <v>145</v>
      </c>
      <c r="C79" s="5" t="s">
        <v>147</v>
      </c>
      <c r="D79" s="18">
        <v>42500</v>
      </c>
      <c r="E79" s="59"/>
      <c r="F79" s="8">
        <v>125000</v>
      </c>
      <c r="G79" s="60"/>
      <c r="H79" s="58"/>
      <c r="I79" s="58"/>
      <c r="J79" s="61"/>
      <c r="K79" s="58"/>
      <c r="L79" s="58"/>
    </row>
    <row r="80" spans="1:12" ht="43.5" x14ac:dyDescent="0.35">
      <c r="A80" s="4" t="s">
        <v>144</v>
      </c>
      <c r="B80" s="5" t="s">
        <v>145</v>
      </c>
      <c r="C80" s="5" t="s">
        <v>148</v>
      </c>
      <c r="D80" s="18">
        <v>21250</v>
      </c>
      <c r="E80" s="59"/>
      <c r="F80" s="8">
        <v>50000</v>
      </c>
      <c r="G80" s="60"/>
      <c r="H80" s="58"/>
      <c r="I80" s="58"/>
      <c r="J80" s="61"/>
      <c r="K80" s="58"/>
      <c r="L80" s="58"/>
    </row>
    <row r="81" spans="1:14" ht="43.5" x14ac:dyDescent="0.35">
      <c r="A81" s="4" t="s">
        <v>144</v>
      </c>
      <c r="B81" s="5" t="s">
        <v>145</v>
      </c>
      <c r="C81" s="5" t="s">
        <v>149</v>
      </c>
      <c r="D81" s="6">
        <v>42500</v>
      </c>
      <c r="E81" s="59"/>
      <c r="F81" s="8">
        <v>50000</v>
      </c>
      <c r="G81" s="60"/>
      <c r="H81" s="58"/>
      <c r="I81" s="58"/>
      <c r="J81" s="61"/>
      <c r="K81" s="58"/>
      <c r="L81" s="58"/>
    </row>
    <row r="82" spans="1:14" ht="29" x14ac:dyDescent="0.35">
      <c r="A82" s="31" t="s">
        <v>144</v>
      </c>
      <c r="B82" s="5" t="s">
        <v>150</v>
      </c>
      <c r="C82" s="5" t="s">
        <v>151</v>
      </c>
      <c r="D82" s="6">
        <v>60000</v>
      </c>
      <c r="E82" s="59">
        <f>D83+D82</f>
        <v>140000</v>
      </c>
      <c r="F82" s="8">
        <v>175000</v>
      </c>
      <c r="G82" s="60">
        <f>SUM(F82:F83)</f>
        <v>300000</v>
      </c>
      <c r="H82" s="58">
        <f>E82*0.9</f>
        <v>126000</v>
      </c>
      <c r="I82" s="58">
        <f>1.1*E82</f>
        <v>154000</v>
      </c>
      <c r="J82" s="61">
        <f>IF(G82&lt;=H82,H82,IF(AND(G82&gt;H82,G82&lt;=I82),G82,I82))</f>
        <v>154000</v>
      </c>
      <c r="K82" s="58">
        <f>J82-E82</f>
        <v>14000</v>
      </c>
      <c r="L82" s="58">
        <f>G82-E82</f>
        <v>160000</v>
      </c>
    </row>
    <row r="83" spans="1:14" ht="29" x14ac:dyDescent="0.35">
      <c r="A83" s="4" t="s">
        <v>144</v>
      </c>
      <c r="B83" s="5" t="s">
        <v>150</v>
      </c>
      <c r="C83" s="5" t="s">
        <v>152</v>
      </c>
      <c r="D83" s="6">
        <v>80000</v>
      </c>
      <c r="E83" s="59"/>
      <c r="F83" s="8">
        <v>125000</v>
      </c>
      <c r="G83" s="60"/>
      <c r="H83" s="58"/>
      <c r="I83" s="58"/>
      <c r="J83" s="61"/>
      <c r="K83" s="58"/>
      <c r="L83" s="58"/>
    </row>
    <row r="84" spans="1:14" ht="29" x14ac:dyDescent="0.35">
      <c r="A84" s="4" t="s">
        <v>153</v>
      </c>
      <c r="B84" s="5" t="s">
        <v>154</v>
      </c>
      <c r="C84" s="5" t="s">
        <v>155</v>
      </c>
      <c r="D84" s="6">
        <v>120000</v>
      </c>
      <c r="E84" s="7">
        <f>D84</f>
        <v>120000</v>
      </c>
      <c r="F84" s="8">
        <v>175000</v>
      </c>
      <c r="G84" s="9">
        <f>F84</f>
        <v>175000</v>
      </c>
      <c r="H84" s="10">
        <f>E84*0.9</f>
        <v>108000</v>
      </c>
      <c r="I84" s="10">
        <f>1.1*E84</f>
        <v>132000</v>
      </c>
      <c r="J84" s="11">
        <f t="shared" ref="J84:J85" si="7">IF(F84&lt;=H84,H84,IF(AND(F84&gt;H84,F84&lt;=I84),F84,I84))</f>
        <v>132000</v>
      </c>
      <c r="K84" s="10">
        <f>J84-E84</f>
        <v>12000</v>
      </c>
      <c r="L84" s="10">
        <f>G84-E84</f>
        <v>55000</v>
      </c>
    </row>
    <row r="85" spans="1:14" x14ac:dyDescent="0.35">
      <c r="A85" s="33" t="s">
        <v>156</v>
      </c>
      <c r="B85" s="34" t="s">
        <v>157</v>
      </c>
      <c r="C85" s="34" t="s">
        <v>158</v>
      </c>
      <c r="D85" s="28">
        <v>0</v>
      </c>
      <c r="E85" s="7">
        <v>0</v>
      </c>
      <c r="F85" s="29">
        <v>175000</v>
      </c>
      <c r="G85" s="9">
        <f>F85</f>
        <v>175000</v>
      </c>
      <c r="H85" s="35">
        <f>E85*0.9</f>
        <v>0</v>
      </c>
      <c r="I85" s="35">
        <f>1.1*E85</f>
        <v>0</v>
      </c>
      <c r="J85" s="11">
        <f t="shared" si="7"/>
        <v>0</v>
      </c>
      <c r="K85" s="35">
        <f>J85-E85</f>
        <v>0</v>
      </c>
      <c r="L85" s="35">
        <f>G85-E85</f>
        <v>175000</v>
      </c>
    </row>
    <row r="86" spans="1:14" ht="43.5" x14ac:dyDescent="0.35">
      <c r="A86" s="4" t="s">
        <v>156</v>
      </c>
      <c r="B86" s="5" t="s">
        <v>145</v>
      </c>
      <c r="C86" s="5" t="s">
        <v>159</v>
      </c>
      <c r="D86" s="6">
        <v>154785.13</v>
      </c>
      <c r="E86" s="7">
        <f>D86</f>
        <v>154785.13</v>
      </c>
      <c r="F86" s="8">
        <v>175000</v>
      </c>
      <c r="G86" s="9">
        <f>F86</f>
        <v>175000</v>
      </c>
      <c r="H86" s="10">
        <f>E86*0.9</f>
        <v>139306.617</v>
      </c>
      <c r="I86" s="10">
        <f>1.1*E86</f>
        <v>170263.64300000001</v>
      </c>
      <c r="J86" s="11">
        <f>IF(G86&lt;=H86,H86,IF(AND(G86&gt;H86,G86&lt;=I86),G86,I86))</f>
        <v>170263.64300000001</v>
      </c>
      <c r="K86" s="10">
        <f>J86-E86</f>
        <v>15478.513000000006</v>
      </c>
      <c r="L86" s="10">
        <f t="shared" ref="L86:L87" si="8">G86-E86</f>
        <v>20214.869999999995</v>
      </c>
    </row>
    <row r="87" spans="1:14" x14ac:dyDescent="0.35">
      <c r="A87" s="4" t="s">
        <v>156</v>
      </c>
      <c r="B87" s="5" t="s">
        <v>160</v>
      </c>
      <c r="C87" s="5" t="s">
        <v>161</v>
      </c>
      <c r="D87" s="6">
        <v>95214.87</v>
      </c>
      <c r="E87" s="7">
        <f>D87</f>
        <v>95214.87</v>
      </c>
      <c r="F87" s="8">
        <v>175000</v>
      </c>
      <c r="G87" s="9">
        <f>F87</f>
        <v>175000</v>
      </c>
      <c r="H87" s="10">
        <f>E87*0.9</f>
        <v>85693.383000000002</v>
      </c>
      <c r="I87" s="10">
        <f>1.1*E87</f>
        <v>104736.357</v>
      </c>
      <c r="J87" s="11">
        <f>IF(G87&lt;=H87,H87,IF(AND(G87&gt;H87,G87&lt;=I87),G87,I87))</f>
        <v>104736.357</v>
      </c>
      <c r="K87" s="10">
        <f>J87-E87</f>
        <v>9521.4870000000083</v>
      </c>
      <c r="L87" s="10">
        <f t="shared" si="8"/>
        <v>79785.13</v>
      </c>
    </row>
    <row r="88" spans="1:14" x14ac:dyDescent="0.35">
      <c r="A88" s="37"/>
      <c r="B88" s="38"/>
      <c r="C88" s="38"/>
      <c r="D88" s="6">
        <f>SUM(D2:D87)</f>
        <v>6737245.9899999993</v>
      </c>
      <c r="E88" s="39">
        <f>D88</f>
        <v>6737245.9899999993</v>
      </c>
      <c r="F88" s="40">
        <f>SUM(F2:F87)</f>
        <v>10150000</v>
      </c>
      <c r="G88" s="41">
        <f>SUM(G2:G87)</f>
        <v>10150000</v>
      </c>
      <c r="H88" s="42">
        <f>SUM(H2:H87)</f>
        <v>6063521.3909999998</v>
      </c>
      <c r="I88" s="42">
        <f>SUM(I2:I87)</f>
        <v>7455770.5890000006</v>
      </c>
      <c r="J88" s="43">
        <f>SUM(J2:J87)</f>
        <v>7042289.0910000009</v>
      </c>
      <c r="L88" s="45"/>
    </row>
    <row r="90" spans="1:14" x14ac:dyDescent="0.35">
      <c r="G90"/>
      <c r="K90"/>
      <c r="L90"/>
      <c r="M90" s="45"/>
      <c r="N90" s="44"/>
    </row>
    <row r="91" spans="1:14" x14ac:dyDescent="0.35">
      <c r="A91" s="47"/>
      <c r="B91" s="48" t="s">
        <v>162</v>
      </c>
      <c r="F91"/>
      <c r="G91"/>
      <c r="K91"/>
      <c r="L91"/>
      <c r="M91" s="45"/>
    </row>
    <row r="92" spans="1:14" ht="29" customHeight="1" x14ac:dyDescent="0.35">
      <c r="A92" s="5" t="s">
        <v>163</v>
      </c>
      <c r="B92" s="49">
        <f>J88</f>
        <v>7042289.0910000009</v>
      </c>
      <c r="F92" s="50"/>
      <c r="G92"/>
      <c r="K92"/>
      <c r="L92"/>
      <c r="M92" s="45"/>
    </row>
    <row r="93" spans="1:14" ht="29" customHeight="1" x14ac:dyDescent="0.35">
      <c r="A93" s="5" t="s">
        <v>164</v>
      </c>
      <c r="B93" s="51">
        <f>AVERAGE(J2:J87)</f>
        <v>185323.39713157897</v>
      </c>
      <c r="F93"/>
      <c r="G93" s="50"/>
      <c r="K93"/>
      <c r="L93"/>
      <c r="M93" s="45"/>
    </row>
    <row r="94" spans="1:14" ht="30.5" customHeight="1" x14ac:dyDescent="0.35">
      <c r="A94" s="5" t="s">
        <v>165</v>
      </c>
      <c r="B94" s="52">
        <f>COUNTIF(K2:K87, "&gt;0")</f>
        <v>29</v>
      </c>
      <c r="F94"/>
      <c r="G94"/>
      <c r="K94"/>
      <c r="L94"/>
      <c r="M94" s="45"/>
    </row>
    <row r="95" spans="1:14" ht="19" customHeight="1" x14ac:dyDescent="0.35">
      <c r="A95" s="5" t="s">
        <v>166</v>
      </c>
      <c r="B95" s="52">
        <f>COUNTIF(K2:K87, "&lt;0")</f>
        <v>6</v>
      </c>
      <c r="F95"/>
      <c r="G95"/>
      <c r="H95" s="50"/>
      <c r="I95" s="50"/>
      <c r="K95"/>
      <c r="L95"/>
      <c r="M95" s="45"/>
    </row>
    <row r="96" spans="1:14" ht="20.149999999999999" customHeight="1" x14ac:dyDescent="0.35">
      <c r="A96" s="5" t="s">
        <v>167</v>
      </c>
      <c r="B96" s="53">
        <f>COUNTIF(K2:K87, "0")</f>
        <v>3</v>
      </c>
      <c r="F96"/>
      <c r="G96"/>
      <c r="K96"/>
      <c r="L96"/>
      <c r="M96" s="45"/>
    </row>
    <row r="97" spans="1:13" ht="19.5" customHeight="1" x14ac:dyDescent="0.35">
      <c r="A97" s="5" t="s">
        <v>168</v>
      </c>
      <c r="B97" s="54">
        <f>AVERAGEIF(K2:K87,"&gt;0")</f>
        <v>17003.848275862078</v>
      </c>
      <c r="D97" s="38"/>
      <c r="E97" s="55"/>
      <c r="F97"/>
      <c r="G97"/>
      <c r="K97"/>
      <c r="L97"/>
      <c r="M97" s="45"/>
    </row>
    <row r="98" spans="1:13" ht="18.649999999999999" customHeight="1" x14ac:dyDescent="0.35">
      <c r="A98" s="5" t="s">
        <v>169</v>
      </c>
      <c r="B98" s="54">
        <f>AVERAGEIF(K2:K87,"&lt;0")</f>
        <v>-31344.749833333335</v>
      </c>
      <c r="D98" s="38"/>
      <c r="E98" s="55"/>
      <c r="F98"/>
      <c r="G98"/>
      <c r="K98"/>
      <c r="L98"/>
      <c r="M98" s="45"/>
    </row>
    <row r="99" spans="1:13" x14ac:dyDescent="0.35">
      <c r="E99" s="46"/>
      <c r="F99"/>
      <c r="G99"/>
      <c r="K99"/>
      <c r="L99"/>
      <c r="M99" s="45"/>
    </row>
    <row r="100" spans="1:13" x14ac:dyDescent="0.35">
      <c r="A100" s="5" t="s">
        <v>170</v>
      </c>
      <c r="B100" s="56">
        <v>6806698.9899999993</v>
      </c>
      <c r="E100" s="46"/>
      <c r="F100"/>
      <c r="G100"/>
      <c r="K100"/>
      <c r="L100"/>
      <c r="M100" s="45"/>
    </row>
    <row r="101" spans="1:13" ht="29" x14ac:dyDescent="0.35">
      <c r="A101" s="5" t="s">
        <v>171</v>
      </c>
      <c r="B101" s="57">
        <f>J88</f>
        <v>7042289.0910000009</v>
      </c>
      <c r="E101" s="46"/>
      <c r="F101" s="44"/>
      <c r="G101"/>
      <c r="J101" s="44"/>
    </row>
    <row r="102" spans="1:13" ht="43.5" x14ac:dyDescent="0.35">
      <c r="A102" s="5" t="s">
        <v>173</v>
      </c>
      <c r="B102" s="57">
        <f>B101-B100</f>
        <v>235590.10100000165</v>
      </c>
    </row>
    <row r="103" spans="1:13" ht="29" x14ac:dyDescent="0.35">
      <c r="A103" s="5" t="s">
        <v>172</v>
      </c>
      <c r="B103" s="56">
        <f>G88</f>
        <v>10150000</v>
      </c>
    </row>
    <row r="104" spans="1:13" ht="43.5" x14ac:dyDescent="0.35">
      <c r="A104" s="5" t="s">
        <v>174</v>
      </c>
      <c r="B104" s="56">
        <f>B103-B100</f>
        <v>3343301.0100000007</v>
      </c>
    </row>
  </sheetData>
  <mergeCells count="113">
    <mergeCell ref="L3:L4"/>
    <mergeCell ref="E5:E6"/>
    <mergeCell ref="G5:G6"/>
    <mergeCell ref="H5:H6"/>
    <mergeCell ref="I5:I6"/>
    <mergeCell ref="J5:J6"/>
    <mergeCell ref="K5:K6"/>
    <mergeCell ref="L5:L6"/>
    <mergeCell ref="E3:E4"/>
    <mergeCell ref="G3:G4"/>
    <mergeCell ref="H3:H4"/>
    <mergeCell ref="I3:I4"/>
    <mergeCell ref="J3:J4"/>
    <mergeCell ref="K3:K4"/>
    <mergeCell ref="L8:L11"/>
    <mergeCell ref="N8:O12"/>
    <mergeCell ref="E12:E16"/>
    <mergeCell ref="G12:G16"/>
    <mergeCell ref="H12:H16"/>
    <mergeCell ref="I12:I16"/>
    <mergeCell ref="J12:J16"/>
    <mergeCell ref="K12:K16"/>
    <mergeCell ref="L12:L16"/>
    <mergeCell ref="E8:E11"/>
    <mergeCell ref="G8:G11"/>
    <mergeCell ref="H8:H11"/>
    <mergeCell ref="I8:I11"/>
    <mergeCell ref="J8:J11"/>
    <mergeCell ref="K8:K11"/>
    <mergeCell ref="L19:L20"/>
    <mergeCell ref="E21:E25"/>
    <mergeCell ref="G21:G25"/>
    <mergeCell ref="H21:H25"/>
    <mergeCell ref="I21:I25"/>
    <mergeCell ref="J21:J25"/>
    <mergeCell ref="K21:K25"/>
    <mergeCell ref="L21:L25"/>
    <mergeCell ref="E19:E20"/>
    <mergeCell ref="G19:G20"/>
    <mergeCell ref="H19:H20"/>
    <mergeCell ref="I19:I20"/>
    <mergeCell ref="J19:J20"/>
    <mergeCell ref="K19:K20"/>
    <mergeCell ref="L31:L35"/>
    <mergeCell ref="E36:E44"/>
    <mergeCell ref="G36:G44"/>
    <mergeCell ref="H36:H44"/>
    <mergeCell ref="I36:I44"/>
    <mergeCell ref="J36:J44"/>
    <mergeCell ref="K36:K44"/>
    <mergeCell ref="L36:L44"/>
    <mergeCell ref="E31:E35"/>
    <mergeCell ref="G31:G35"/>
    <mergeCell ref="H31:H35"/>
    <mergeCell ref="I31:I35"/>
    <mergeCell ref="J31:J35"/>
    <mergeCell ref="K31:K35"/>
    <mergeCell ref="L46:L50"/>
    <mergeCell ref="E52:E53"/>
    <mergeCell ref="G52:G53"/>
    <mergeCell ref="H52:H53"/>
    <mergeCell ref="I52:I53"/>
    <mergeCell ref="J52:J53"/>
    <mergeCell ref="K52:K53"/>
    <mergeCell ref="L52:L53"/>
    <mergeCell ref="E46:E50"/>
    <mergeCell ref="G46:G50"/>
    <mergeCell ref="H46:H50"/>
    <mergeCell ref="I46:I50"/>
    <mergeCell ref="J46:J50"/>
    <mergeCell ref="K46:K50"/>
    <mergeCell ref="L56:L59"/>
    <mergeCell ref="E62:E70"/>
    <mergeCell ref="G62:G70"/>
    <mergeCell ref="H62:H70"/>
    <mergeCell ref="I62:I70"/>
    <mergeCell ref="J62:J70"/>
    <mergeCell ref="K62:K70"/>
    <mergeCell ref="L62:L70"/>
    <mergeCell ref="E56:E59"/>
    <mergeCell ref="G56:G59"/>
    <mergeCell ref="H56:H59"/>
    <mergeCell ref="I56:I59"/>
    <mergeCell ref="J56:J59"/>
    <mergeCell ref="K56:K59"/>
    <mergeCell ref="L74:L75"/>
    <mergeCell ref="E76:E77"/>
    <mergeCell ref="G76:G77"/>
    <mergeCell ref="H76:H77"/>
    <mergeCell ref="I76:I77"/>
    <mergeCell ref="J76:J77"/>
    <mergeCell ref="K76:K77"/>
    <mergeCell ref="L76:L77"/>
    <mergeCell ref="E74:E75"/>
    <mergeCell ref="G74:G75"/>
    <mergeCell ref="H74:H75"/>
    <mergeCell ref="I74:I75"/>
    <mergeCell ref="J74:J75"/>
    <mergeCell ref="K74:K75"/>
    <mergeCell ref="L78:L81"/>
    <mergeCell ref="E82:E83"/>
    <mergeCell ref="G82:G83"/>
    <mergeCell ref="H82:H83"/>
    <mergeCell ref="I82:I83"/>
    <mergeCell ref="J82:J83"/>
    <mergeCell ref="K82:K83"/>
    <mergeCell ref="L82:L83"/>
    <mergeCell ref="E78:E81"/>
    <mergeCell ref="G78:G81"/>
    <mergeCell ref="H78:H81"/>
    <mergeCell ref="I78:I81"/>
    <mergeCell ref="J78:J81"/>
    <mergeCell ref="K78:K81"/>
  </mergeCells>
  <conditionalFormatting sqref="G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2023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Mikah Rotman</dc:creator>
  <cp:lastModifiedBy>Mikah Rotman</cp:lastModifiedBy>
  <dcterms:created xsi:type="dcterms:W3CDTF">2023-06-14T23:12:20Z</dcterms:created>
  <dcterms:modified xsi:type="dcterms:W3CDTF">2023-06-29T22:35:08Z</dcterms:modified>
</cp:coreProperties>
</file>