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I:\PH Modernization\PHAB\Incentives and Funding Subcommittee\funding formula guidance and framework\2022 update\LPHA funding formula 2022 FINAL\"/>
    </mc:Choice>
  </mc:AlternateContent>
  <xr:revisionPtr revIDLastSave="0" documentId="8_{528C44DF-DA40-4303-BFB4-AEAC5F0C34BD}" xr6:coauthVersionLast="47" xr6:coauthVersionMax="47" xr10:uidLastSave="{00000000-0000-0000-0000-000000000000}"/>
  <bookViews>
    <workbookView xWindow="-120" yWindow="-120" windowWidth="25440" windowHeight="15390" tabRatio="684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definedNames>
    <definedName name="_xlnm._FilterDatabase" localSheetId="2" hidden="1">'County Data'!#REF!</definedName>
    <definedName name="_xlnm._FilterDatabase" localSheetId="4" hidden="1">Floor!$B$6:$F$45</definedName>
    <definedName name="_xlnm._FilterDatabase" localSheetId="8" hidden="1">Rurality!$B$6:$H$41</definedName>
    <definedName name="_xlnm.Print_Area" localSheetId="2">'County Data'!$A$1:$P$48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2" i="1"/>
  <c r="D11" i="1"/>
  <c r="D10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H44" i="21"/>
  <c r="G7" i="21"/>
  <c r="G7" i="14"/>
  <c r="D22" i="13"/>
  <c r="D21" i="13"/>
  <c r="D20" i="13"/>
  <c r="D18" i="13"/>
  <c r="D19" i="13"/>
  <c r="D17" i="13"/>
  <c r="D16" i="13"/>
  <c r="M11" i="1"/>
  <c r="L11" i="1"/>
  <c r="B9" i="9"/>
  <c r="C9" i="9" s="1"/>
  <c r="E8" i="18"/>
  <c r="E8" i="20"/>
  <c r="E8" i="17"/>
  <c r="E8" i="19"/>
  <c r="E8" i="16"/>
  <c r="E8" i="15"/>
  <c r="D8" i="14"/>
  <c r="E8" i="14" s="1"/>
  <c r="C11" i="1"/>
  <c r="D9" i="9" l="1"/>
  <c r="I9" i="9"/>
  <c r="S12" i="21"/>
  <c r="R12" i="21"/>
  <c r="R11" i="21"/>
  <c r="R10" i="21"/>
  <c r="R9" i="21"/>
  <c r="R8" i="21"/>
  <c r="R7" i="21"/>
  <c r="S59" i="21"/>
  <c r="S58" i="21"/>
  <c r="S57" i="21"/>
  <c r="S56" i="21"/>
  <c r="S55" i="21"/>
  <c r="S54" i="21"/>
  <c r="S53" i="21"/>
  <c r="N58" i="21"/>
  <c r="K9" i="9" l="1"/>
  <c r="J9" i="9"/>
  <c r="F9" i="9"/>
  <c r="G5" i="1"/>
  <c r="C7" i="13" l="1"/>
  <c r="C8" i="13" s="1"/>
  <c r="D14" i="13" l="1"/>
  <c r="D42" i="8"/>
  <c r="T4" i="9"/>
  <c r="O4" i="9"/>
  <c r="J4" i="9"/>
  <c r="E4" i="9"/>
  <c r="I7" i="21" l="1"/>
  <c r="B39" i="21"/>
  <c r="C39" i="21" s="1"/>
  <c r="B34" i="21"/>
  <c r="C34" i="21" s="1"/>
  <c r="B17" i="21"/>
  <c r="C45" i="21" l="1"/>
  <c r="C17" i="21"/>
  <c r="C47" i="2" l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10" i="1"/>
  <c r="C12" i="13"/>
  <c r="I11" i="21" s="1"/>
  <c r="C11" i="13"/>
  <c r="I10" i="21" s="1"/>
  <c r="C10" i="13"/>
  <c r="I9" i="21" s="1"/>
  <c r="C9" i="13"/>
  <c r="I8" i="21" s="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2" i="2"/>
  <c r="B1" i="2"/>
  <c r="C28" i="13"/>
  <c r="C25" i="13"/>
  <c r="C14" i="13" l="1"/>
  <c r="C16" i="13" s="1"/>
  <c r="C32" i="13"/>
  <c r="N8" i="2" s="1"/>
  <c r="C33" i="13"/>
  <c r="O8" i="2" s="1"/>
  <c r="C34" i="13"/>
  <c r="P8" i="2" s="1"/>
  <c r="C31" i="13"/>
  <c r="M8" i="2" s="1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20" i="13" l="1"/>
  <c r="C21" i="13"/>
  <c r="C17" i="13"/>
  <c r="C22" i="13"/>
  <c r="C18" i="13"/>
  <c r="C15" i="13"/>
  <c r="C19" i="13"/>
  <c r="C43" i="21"/>
  <c r="D43" i="21" l="1"/>
  <c r="B7" i="9" l="1"/>
  <c r="B12" i="9"/>
  <c r="B10" i="9"/>
  <c r="B11" i="9"/>
  <c r="B35" i="9"/>
  <c r="B17" i="9"/>
  <c r="B15" i="9"/>
  <c r="B26" i="9"/>
  <c r="B25" i="9"/>
  <c r="B23" i="9"/>
  <c r="B32" i="9"/>
  <c r="B40" i="9"/>
  <c r="B20" i="9"/>
  <c r="B39" i="9"/>
  <c r="B29" i="9"/>
  <c r="B19" i="9"/>
  <c r="B28" i="9"/>
  <c r="B21" i="9"/>
  <c r="B41" i="9"/>
  <c r="B13" i="9"/>
  <c r="B37" i="9"/>
  <c r="B22" i="9"/>
  <c r="B34" i="9"/>
  <c r="B24" i="9"/>
  <c r="B31" i="9"/>
  <c r="B38" i="9"/>
  <c r="B27" i="9"/>
  <c r="B30" i="9"/>
  <c r="B16" i="9"/>
  <c r="B36" i="9"/>
  <c r="B18" i="9"/>
  <c r="B33" i="9"/>
  <c r="B14" i="9"/>
  <c r="B7" i="8"/>
  <c r="B8" i="8"/>
  <c r="E8" i="8" s="1"/>
  <c r="B12" i="8"/>
  <c r="E12" i="8" s="1"/>
  <c r="B10" i="8"/>
  <c r="E10" i="8" s="1"/>
  <c r="B11" i="8"/>
  <c r="E11" i="8" s="1"/>
  <c r="B35" i="8"/>
  <c r="E35" i="8" s="1"/>
  <c r="B16" i="8"/>
  <c r="B15" i="8"/>
  <c r="B26" i="8"/>
  <c r="B25" i="8"/>
  <c r="E25" i="8" s="1"/>
  <c r="B23" i="8"/>
  <c r="E23" i="8" s="1"/>
  <c r="B32" i="8"/>
  <c r="E32" i="8" s="1"/>
  <c r="B40" i="8"/>
  <c r="B20" i="8"/>
  <c r="B39" i="8"/>
  <c r="E39" i="8" s="1"/>
  <c r="B28" i="8"/>
  <c r="B19" i="8"/>
  <c r="E19" i="8" s="1"/>
  <c r="B29" i="8"/>
  <c r="E29" i="8" s="1"/>
  <c r="B21" i="8"/>
  <c r="B41" i="8"/>
  <c r="E41" i="8" s="1"/>
  <c r="B13" i="8"/>
  <c r="B37" i="8"/>
  <c r="B22" i="8"/>
  <c r="B34" i="8"/>
  <c r="B24" i="8"/>
  <c r="E24" i="8" s="1"/>
  <c r="B31" i="8"/>
  <c r="E31" i="8" s="1"/>
  <c r="B38" i="8"/>
  <c r="B27" i="8"/>
  <c r="E27" i="8" s="1"/>
  <c r="B30" i="8"/>
  <c r="E30" i="8" s="1"/>
  <c r="B17" i="8"/>
  <c r="B36" i="8"/>
  <c r="B18" i="8"/>
  <c r="B33" i="8"/>
  <c r="E33" i="8" s="1"/>
  <c r="B14" i="8"/>
  <c r="E14" i="8" s="1"/>
  <c r="B7" i="18"/>
  <c r="B10" i="18"/>
  <c r="C10" i="18" s="1"/>
  <c r="B23" i="18"/>
  <c r="C23" i="18" s="1"/>
  <c r="B19" i="18"/>
  <c r="B11" i="18"/>
  <c r="C11" i="18" s="1"/>
  <c r="B20" i="18"/>
  <c r="C20" i="18" s="1"/>
  <c r="B14" i="18"/>
  <c r="C14" i="18" s="1"/>
  <c r="B9" i="18"/>
  <c r="C9" i="18" s="1"/>
  <c r="B18" i="18"/>
  <c r="C18" i="18" s="1"/>
  <c r="B16" i="18"/>
  <c r="C16" i="18" s="1"/>
  <c r="B25" i="18"/>
  <c r="B33" i="18"/>
  <c r="B37" i="18"/>
  <c r="C37" i="18" s="1"/>
  <c r="B17" i="18"/>
  <c r="B30" i="18"/>
  <c r="C30" i="18" s="1"/>
  <c r="B38" i="18"/>
  <c r="C38" i="18" s="1"/>
  <c r="B22" i="18"/>
  <c r="C22" i="18" s="1"/>
  <c r="B31" i="18"/>
  <c r="C31" i="18" s="1"/>
  <c r="B34" i="18"/>
  <c r="C34" i="18" s="1"/>
  <c r="B35" i="18"/>
  <c r="C35" i="18" s="1"/>
  <c r="B41" i="18"/>
  <c r="B39" i="18"/>
  <c r="C39" i="18" s="1"/>
  <c r="B36" i="18"/>
  <c r="C36" i="18" s="1"/>
  <c r="B21" i="18"/>
  <c r="C21" i="18" s="1"/>
  <c r="B27" i="18"/>
  <c r="C27" i="18" s="1"/>
  <c r="B29" i="18"/>
  <c r="C29" i="18" s="1"/>
  <c r="B24" i="18"/>
  <c r="B26" i="18"/>
  <c r="C26" i="18" s="1"/>
  <c r="B15" i="18"/>
  <c r="B32" i="18"/>
  <c r="B28" i="18"/>
  <c r="C28" i="18" s="1"/>
  <c r="B40" i="18"/>
  <c r="B13" i="18"/>
  <c r="C13" i="18" s="1"/>
  <c r="B12" i="18"/>
  <c r="C12" i="18" s="1"/>
  <c r="B14" i="20"/>
  <c r="B10" i="20"/>
  <c r="B36" i="20"/>
  <c r="C36" i="20" s="1"/>
  <c r="B25" i="20"/>
  <c r="C25" i="20" s="1"/>
  <c r="B24" i="20"/>
  <c r="C24" i="20" s="1"/>
  <c r="B11" i="20"/>
  <c r="C11" i="20" s="1"/>
  <c r="B22" i="20"/>
  <c r="B33" i="20"/>
  <c r="C33" i="20" s="1"/>
  <c r="B29" i="20"/>
  <c r="B20" i="20"/>
  <c r="C20" i="20" s="1"/>
  <c r="B13" i="20"/>
  <c r="B31" i="20"/>
  <c r="B17" i="20"/>
  <c r="C17" i="20" s="1"/>
  <c r="B12" i="20"/>
  <c r="B9" i="20"/>
  <c r="B38" i="20"/>
  <c r="C38" i="20" s="1"/>
  <c r="B21" i="20"/>
  <c r="C21" i="20" s="1"/>
  <c r="B16" i="20"/>
  <c r="C16" i="20" s="1"/>
  <c r="B34" i="20"/>
  <c r="C34" i="20" s="1"/>
  <c r="B18" i="20"/>
  <c r="C18" i="20" s="1"/>
  <c r="B41" i="20"/>
  <c r="B35" i="20"/>
  <c r="C35" i="20" s="1"/>
  <c r="B40" i="20"/>
  <c r="C40" i="20" s="1"/>
  <c r="B23" i="20"/>
  <c r="C23" i="20" s="1"/>
  <c r="B26" i="20"/>
  <c r="C26" i="20" s="1"/>
  <c r="B7" i="20"/>
  <c r="B15" i="20"/>
  <c r="C15" i="20" s="1"/>
  <c r="B32" i="20"/>
  <c r="C32" i="20" s="1"/>
  <c r="B30" i="20"/>
  <c r="C30" i="20" s="1"/>
  <c r="B37" i="20"/>
  <c r="B28" i="20"/>
  <c r="C28" i="20" s="1"/>
  <c r="B39" i="20"/>
  <c r="C39" i="20" s="1"/>
  <c r="B27" i="20"/>
  <c r="B19" i="20"/>
  <c r="C19" i="20" s="1"/>
  <c r="B41" i="19"/>
  <c r="B40" i="19"/>
  <c r="B37" i="19"/>
  <c r="B30" i="19"/>
  <c r="B39" i="19"/>
  <c r="B17" i="19"/>
  <c r="B23" i="19"/>
  <c r="B33" i="19"/>
  <c r="B22" i="19"/>
  <c r="B29" i="19"/>
  <c r="B24" i="19"/>
  <c r="B16" i="19"/>
  <c r="B9" i="19"/>
  <c r="B28" i="19"/>
  <c r="B12" i="19"/>
  <c r="B18" i="19"/>
  <c r="B38" i="19"/>
  <c r="B14" i="19"/>
  <c r="B27" i="19"/>
  <c r="B7" i="19"/>
  <c r="B32" i="19"/>
  <c r="B10" i="19"/>
  <c r="B34" i="19"/>
  <c r="B19" i="19"/>
  <c r="B21" i="19"/>
  <c r="B13" i="19"/>
  <c r="B11" i="19"/>
  <c r="B20" i="19"/>
  <c r="B31" i="19"/>
  <c r="B36" i="19"/>
  <c r="B15" i="19"/>
  <c r="B35" i="19"/>
  <c r="B26" i="19"/>
  <c r="B25" i="19"/>
  <c r="B37" i="17"/>
  <c r="C37" i="17" s="1"/>
  <c r="B16" i="17"/>
  <c r="C16" i="17" s="1"/>
  <c r="B39" i="17"/>
  <c r="C39" i="17" s="1"/>
  <c r="B24" i="17"/>
  <c r="C24" i="17" s="1"/>
  <c r="B25" i="17"/>
  <c r="C25" i="17" s="1"/>
  <c r="B10" i="17"/>
  <c r="C10" i="17" s="1"/>
  <c r="B22" i="17"/>
  <c r="C22" i="17" s="1"/>
  <c r="B33" i="17"/>
  <c r="C33" i="17" s="1"/>
  <c r="B35" i="17"/>
  <c r="C35" i="17" s="1"/>
  <c r="B11" i="17"/>
  <c r="C11" i="17" s="1"/>
  <c r="B17" i="17"/>
  <c r="C17" i="17" s="1"/>
  <c r="B14" i="17"/>
  <c r="C14" i="17" s="1"/>
  <c r="B9" i="17"/>
  <c r="C9" i="17" s="1"/>
  <c r="B38" i="17"/>
  <c r="C38" i="17" s="1"/>
  <c r="B7" i="17"/>
  <c r="B29" i="17"/>
  <c r="C29" i="17" s="1"/>
  <c r="B20" i="17"/>
  <c r="C20" i="17" s="1"/>
  <c r="B12" i="17"/>
  <c r="C12" i="17" s="1"/>
  <c r="B18" i="17"/>
  <c r="B15" i="17"/>
  <c r="C15" i="17" s="1"/>
  <c r="B19" i="17"/>
  <c r="C19" i="17" s="1"/>
  <c r="B28" i="17"/>
  <c r="C28" i="17" s="1"/>
  <c r="B41" i="17"/>
  <c r="C41" i="17" s="1"/>
  <c r="B23" i="17"/>
  <c r="C23" i="17" s="1"/>
  <c r="B30" i="17"/>
  <c r="C30" i="17" s="1"/>
  <c r="B31" i="17"/>
  <c r="C31" i="17" s="1"/>
  <c r="B32" i="17"/>
  <c r="C32" i="17" s="1"/>
  <c r="B36" i="17"/>
  <c r="C36" i="17" s="1"/>
  <c r="B40" i="17"/>
  <c r="C40" i="17" s="1"/>
  <c r="B34" i="17"/>
  <c r="C34" i="17" s="1"/>
  <c r="B27" i="17"/>
  <c r="C27" i="17" s="1"/>
  <c r="B13" i="17"/>
  <c r="C13" i="17" s="1"/>
  <c r="B26" i="17"/>
  <c r="C26" i="17" s="1"/>
  <c r="B21" i="17"/>
  <c r="C21" i="17" s="1"/>
  <c r="B7" i="16"/>
  <c r="B9" i="16"/>
  <c r="C9" i="16" s="1"/>
  <c r="B23" i="16"/>
  <c r="B19" i="16"/>
  <c r="C19" i="16" s="1"/>
  <c r="B10" i="16"/>
  <c r="C10" i="16" s="1"/>
  <c r="B16" i="16"/>
  <c r="C16" i="16" s="1"/>
  <c r="B18" i="16"/>
  <c r="B15" i="16"/>
  <c r="B22" i="16"/>
  <c r="C22" i="16" s="1"/>
  <c r="B13" i="16"/>
  <c r="C13" i="16" s="1"/>
  <c r="B20" i="16"/>
  <c r="C20" i="16" s="1"/>
  <c r="B32" i="16"/>
  <c r="C32" i="16" s="1"/>
  <c r="B35" i="16"/>
  <c r="B12" i="16"/>
  <c r="C12" i="16" s="1"/>
  <c r="B25" i="16"/>
  <c r="C25" i="16" s="1"/>
  <c r="B36" i="16"/>
  <c r="C36" i="16" s="1"/>
  <c r="B24" i="16"/>
  <c r="C24" i="16" s="1"/>
  <c r="B31" i="16"/>
  <c r="C31" i="16" s="1"/>
  <c r="B33" i="16"/>
  <c r="B34" i="16"/>
  <c r="B40" i="16"/>
  <c r="B37" i="16"/>
  <c r="C37" i="16" s="1"/>
  <c r="B39" i="16"/>
  <c r="C39" i="16" s="1"/>
  <c r="B21" i="16"/>
  <c r="C21" i="16" s="1"/>
  <c r="B27" i="16"/>
  <c r="C27" i="16" s="1"/>
  <c r="B29" i="16"/>
  <c r="C29" i="16" s="1"/>
  <c r="B26" i="16"/>
  <c r="B30" i="16"/>
  <c r="C30" i="16" s="1"/>
  <c r="B17" i="16"/>
  <c r="C17" i="16" s="1"/>
  <c r="B41" i="16"/>
  <c r="C41" i="16" s="1"/>
  <c r="B28" i="16"/>
  <c r="C28" i="16" s="1"/>
  <c r="B38" i="16"/>
  <c r="C38" i="16" s="1"/>
  <c r="B14" i="16"/>
  <c r="C14" i="16" s="1"/>
  <c r="B11" i="16"/>
  <c r="C11" i="16" s="1"/>
  <c r="B41" i="15"/>
  <c r="D41" i="15" s="1"/>
  <c r="B9" i="15"/>
  <c r="D9" i="15" s="1"/>
  <c r="B10" i="15"/>
  <c r="B39" i="15"/>
  <c r="B21" i="15"/>
  <c r="D21" i="15" s="1"/>
  <c r="B7" i="15"/>
  <c r="B36" i="15"/>
  <c r="D36" i="15" s="1"/>
  <c r="B37" i="15"/>
  <c r="D37" i="15" s="1"/>
  <c r="B33" i="15"/>
  <c r="D33" i="15" s="1"/>
  <c r="B27" i="15"/>
  <c r="B17" i="15"/>
  <c r="B25" i="15"/>
  <c r="B11" i="15"/>
  <c r="B14" i="15"/>
  <c r="B16" i="15"/>
  <c r="D16" i="15" s="1"/>
  <c r="B34" i="15"/>
  <c r="B28" i="15"/>
  <c r="B15" i="15"/>
  <c r="B18" i="15"/>
  <c r="D18" i="15" s="1"/>
  <c r="B20" i="15"/>
  <c r="D20" i="15" s="1"/>
  <c r="B38" i="15"/>
  <c r="B29" i="15"/>
  <c r="B40" i="15"/>
  <c r="B23" i="15"/>
  <c r="B31" i="15"/>
  <c r="D31" i="15" s="1"/>
  <c r="B13" i="15"/>
  <c r="D13" i="15" s="1"/>
  <c r="B19" i="15"/>
  <c r="B32" i="15"/>
  <c r="B26" i="15"/>
  <c r="B24" i="15"/>
  <c r="D24" i="15" s="1"/>
  <c r="B22" i="15"/>
  <c r="D22" i="15" s="1"/>
  <c r="B30" i="15"/>
  <c r="D30" i="15" s="1"/>
  <c r="B35" i="15"/>
  <c r="D35" i="15" s="1"/>
  <c r="B12" i="15"/>
  <c r="D12" i="15" s="1"/>
  <c r="B16" i="4"/>
  <c r="C16" i="4" s="1"/>
  <c r="B14" i="14"/>
  <c r="C14" i="14" s="1"/>
  <c r="B17" i="14"/>
  <c r="B9" i="14"/>
  <c r="B28" i="14"/>
  <c r="C28" i="14" s="1"/>
  <c r="B21" i="14"/>
  <c r="B24" i="14"/>
  <c r="B29" i="14"/>
  <c r="C29" i="14" s="1"/>
  <c r="B12" i="14"/>
  <c r="B31" i="14"/>
  <c r="C31" i="14" s="1"/>
  <c r="B19" i="14"/>
  <c r="C19" i="14" s="1"/>
  <c r="B16" i="14"/>
  <c r="B18" i="14"/>
  <c r="B22" i="14"/>
  <c r="C22" i="14" s="1"/>
  <c r="B23" i="14"/>
  <c r="B38" i="14"/>
  <c r="C38" i="14" s="1"/>
  <c r="B20" i="14"/>
  <c r="B30" i="14"/>
  <c r="B36" i="14"/>
  <c r="C36" i="14" s="1"/>
  <c r="B34" i="14"/>
  <c r="C34" i="14" s="1"/>
  <c r="B39" i="14"/>
  <c r="C39" i="14" s="1"/>
  <c r="B25" i="14"/>
  <c r="B10" i="14"/>
  <c r="C10" i="14" s="1"/>
  <c r="B40" i="14"/>
  <c r="C40" i="14" s="1"/>
  <c r="B15" i="14"/>
  <c r="B35" i="14"/>
  <c r="B13" i="14"/>
  <c r="B41" i="14"/>
  <c r="B26" i="14"/>
  <c r="B37" i="14"/>
  <c r="C37" i="14" s="1"/>
  <c r="B27" i="14"/>
  <c r="B33" i="14"/>
  <c r="C33" i="14" s="1"/>
  <c r="B11" i="14"/>
  <c r="B7" i="14"/>
  <c r="B32" i="14"/>
  <c r="B21" i="4"/>
  <c r="C21" i="4" s="1"/>
  <c r="B28" i="4"/>
  <c r="C28" i="4" s="1"/>
  <c r="B26" i="4"/>
  <c r="C26" i="4" s="1"/>
  <c r="B14" i="4"/>
  <c r="C14" i="4" s="1"/>
  <c r="B19" i="4"/>
  <c r="C19" i="4" s="1"/>
  <c r="B10" i="4"/>
  <c r="C10" i="4" s="1"/>
  <c r="B35" i="4"/>
  <c r="C35" i="4" s="1"/>
  <c r="B17" i="4"/>
  <c r="C17" i="4" s="1"/>
  <c r="B8" i="4"/>
  <c r="C8" i="4" s="1"/>
  <c r="B29" i="4"/>
  <c r="C29" i="4" s="1"/>
  <c r="B15" i="4"/>
  <c r="C15" i="4" s="1"/>
  <c r="B12" i="4"/>
  <c r="C12" i="4" s="1"/>
  <c r="B25" i="4"/>
  <c r="C25" i="4" s="1"/>
  <c r="B23" i="4"/>
  <c r="C23" i="4" s="1"/>
  <c r="B13" i="4"/>
  <c r="C13" i="4" s="1"/>
  <c r="B32" i="4"/>
  <c r="C32" i="4" s="1"/>
  <c r="B31" i="4"/>
  <c r="C31" i="4" s="1"/>
  <c r="B30" i="4"/>
  <c r="C30" i="4" s="1"/>
  <c r="B18" i="4"/>
  <c r="C18" i="4" s="1"/>
  <c r="B22" i="4"/>
  <c r="C22" i="4" s="1"/>
  <c r="B27" i="4"/>
  <c r="C27" i="4" s="1"/>
  <c r="B24" i="4"/>
  <c r="C24" i="4" s="1"/>
  <c r="B9" i="4"/>
  <c r="C9" i="4" s="1"/>
  <c r="B34" i="4"/>
  <c r="C34" i="4" s="1"/>
  <c r="B11" i="4"/>
  <c r="C11" i="4" s="1"/>
  <c r="B33" i="4"/>
  <c r="C33" i="4" s="1"/>
  <c r="B7" i="4"/>
  <c r="C7" i="4" s="1"/>
  <c r="B20" i="4"/>
  <c r="C20" i="4" s="1"/>
  <c r="B38" i="4"/>
  <c r="C38" i="4" s="1"/>
  <c r="B36" i="4"/>
  <c r="C36" i="4" s="1"/>
  <c r="B37" i="4"/>
  <c r="C37" i="4" s="1"/>
  <c r="B39" i="4"/>
  <c r="C39" i="4" s="1"/>
  <c r="B40" i="4"/>
  <c r="C40" i="4" s="1"/>
  <c r="D11" i="18"/>
  <c r="D12" i="18"/>
  <c r="J8" i="2"/>
  <c r="I8" i="2"/>
  <c r="L8" i="2"/>
  <c r="K8" i="2"/>
  <c r="H8" i="2"/>
  <c r="G8" i="2"/>
  <c r="F8" i="2"/>
  <c r="C5" i="2"/>
  <c r="E8" i="2"/>
  <c r="C8" i="2"/>
  <c r="Q8" i="2" l="1"/>
  <c r="E7" i="8"/>
  <c r="F7" i="8" s="1"/>
  <c r="C7" i="20"/>
  <c r="C7" i="17"/>
  <c r="C7" i="16"/>
  <c r="D7" i="15"/>
  <c r="C29" i="15"/>
  <c r="D29" i="15"/>
  <c r="E29" i="15" s="1"/>
  <c r="C15" i="15"/>
  <c r="D15" i="15"/>
  <c r="C14" i="15"/>
  <c r="D14" i="15"/>
  <c r="C27" i="15"/>
  <c r="D27" i="15"/>
  <c r="C26" i="15"/>
  <c r="D26" i="15"/>
  <c r="E26" i="15" s="1"/>
  <c r="C38" i="15"/>
  <c r="D38" i="15"/>
  <c r="C28" i="15"/>
  <c r="D28" i="15"/>
  <c r="C11" i="15"/>
  <c r="D11" i="15"/>
  <c r="C32" i="15"/>
  <c r="D32" i="15"/>
  <c r="E32" i="15" s="1"/>
  <c r="C23" i="15"/>
  <c r="D23" i="15"/>
  <c r="E23" i="15" s="1"/>
  <c r="C34" i="15"/>
  <c r="D34" i="15"/>
  <c r="C25" i="15"/>
  <c r="D25" i="15"/>
  <c r="C39" i="15"/>
  <c r="D39" i="15"/>
  <c r="E39" i="15" s="1"/>
  <c r="C19" i="15"/>
  <c r="D19" i="15"/>
  <c r="C40" i="15"/>
  <c r="D40" i="15"/>
  <c r="C17" i="15"/>
  <c r="D17" i="15"/>
  <c r="C10" i="15"/>
  <c r="D10" i="15"/>
  <c r="E10" i="15" s="1"/>
  <c r="H7" i="8"/>
  <c r="G7" i="8"/>
  <c r="E18" i="8"/>
  <c r="F18" i="8" s="1"/>
  <c r="E36" i="8"/>
  <c r="F36" i="8" s="1"/>
  <c r="E38" i="8"/>
  <c r="F38" i="8" s="1"/>
  <c r="E22" i="8"/>
  <c r="F22" i="8" s="1"/>
  <c r="E21" i="8"/>
  <c r="F21" i="8" s="1"/>
  <c r="E16" i="8"/>
  <c r="F16" i="8" s="1"/>
  <c r="E34" i="8"/>
  <c r="F34" i="8" s="1"/>
  <c r="E17" i="8"/>
  <c r="F17" i="8" s="1"/>
  <c r="E37" i="8"/>
  <c r="F37" i="8" s="1"/>
  <c r="E20" i="8"/>
  <c r="F20" i="8" s="1"/>
  <c r="E28" i="8"/>
  <c r="F28" i="8" s="1"/>
  <c r="E15" i="8"/>
  <c r="F15" i="8" s="1"/>
  <c r="E13" i="8"/>
  <c r="F13" i="8" s="1"/>
  <c r="E40" i="8"/>
  <c r="F40" i="8" s="1"/>
  <c r="E26" i="8"/>
  <c r="F26" i="8" s="1"/>
  <c r="C7" i="8"/>
  <c r="D25" i="17"/>
  <c r="F8" i="8"/>
  <c r="G8" i="8" s="1"/>
  <c r="C32" i="8"/>
  <c r="F32" i="8"/>
  <c r="C23" i="8"/>
  <c r="F23" i="8"/>
  <c r="C24" i="8"/>
  <c r="F24" i="8"/>
  <c r="D41" i="16"/>
  <c r="E41" i="16" s="1"/>
  <c r="C39" i="8"/>
  <c r="F39" i="8"/>
  <c r="C41" i="8"/>
  <c r="F41" i="8"/>
  <c r="C14" i="8"/>
  <c r="F14" i="8"/>
  <c r="C25" i="8"/>
  <c r="F25" i="8"/>
  <c r="C35" i="8"/>
  <c r="F35" i="8"/>
  <c r="C27" i="8"/>
  <c r="F27" i="8"/>
  <c r="C10" i="8"/>
  <c r="F10" i="8"/>
  <c r="C12" i="8"/>
  <c r="F12" i="8"/>
  <c r="C31" i="8"/>
  <c r="F31" i="8"/>
  <c r="C29" i="8"/>
  <c r="F29" i="8"/>
  <c r="C33" i="8"/>
  <c r="F33" i="8"/>
  <c r="C19" i="8"/>
  <c r="F19" i="8"/>
  <c r="C30" i="8"/>
  <c r="F30" i="8"/>
  <c r="C11" i="8"/>
  <c r="F11" i="8"/>
  <c r="D19" i="20"/>
  <c r="E19" i="20" s="1"/>
  <c r="D17" i="16"/>
  <c r="E17" i="16" s="1"/>
  <c r="D36" i="20"/>
  <c r="E36" i="20" s="1"/>
  <c r="D30" i="17"/>
  <c r="E30" i="17" s="1"/>
  <c r="D20" i="17"/>
  <c r="E20" i="17" s="1"/>
  <c r="D25" i="20"/>
  <c r="E25" i="20" s="1"/>
  <c r="D40" i="14"/>
  <c r="E40" i="14" s="1"/>
  <c r="C16" i="9"/>
  <c r="N16" i="9"/>
  <c r="O16" i="9" s="1"/>
  <c r="I16" i="9"/>
  <c r="J16" i="9" s="1"/>
  <c r="D16" i="9"/>
  <c r="S16" i="9"/>
  <c r="T16" i="9" s="1"/>
  <c r="C20" i="9"/>
  <c r="D20" i="9"/>
  <c r="S20" i="9"/>
  <c r="T20" i="9" s="1"/>
  <c r="N20" i="9"/>
  <c r="O20" i="9" s="1"/>
  <c r="I20" i="9"/>
  <c r="J20" i="9" s="1"/>
  <c r="C30" i="9"/>
  <c r="I30" i="9"/>
  <c r="J30" i="9" s="1"/>
  <c r="D30" i="9"/>
  <c r="S30" i="9"/>
  <c r="T30" i="9" s="1"/>
  <c r="N30" i="9"/>
  <c r="O30" i="9" s="1"/>
  <c r="C40" i="9"/>
  <c r="N40" i="9"/>
  <c r="O40" i="9" s="1"/>
  <c r="I40" i="9"/>
  <c r="J40" i="9" s="1"/>
  <c r="D40" i="9"/>
  <c r="S40" i="9"/>
  <c r="T40" i="9" s="1"/>
  <c r="D33" i="14"/>
  <c r="E33" i="14" s="1"/>
  <c r="C41" i="9"/>
  <c r="S41" i="9"/>
  <c r="T41" i="9" s="1"/>
  <c r="N41" i="9"/>
  <c r="O41" i="9" s="1"/>
  <c r="I41" i="9"/>
  <c r="J41" i="9" s="1"/>
  <c r="D41" i="9"/>
  <c r="C10" i="9"/>
  <c r="S10" i="9"/>
  <c r="T10" i="9" s="1"/>
  <c r="I10" i="9"/>
  <c r="J10" i="9" s="1"/>
  <c r="N10" i="9"/>
  <c r="O10" i="9" s="1"/>
  <c r="D10" i="9"/>
  <c r="M9" i="2"/>
  <c r="N9" i="2"/>
  <c r="O9" i="2"/>
  <c r="D38" i="14"/>
  <c r="E38" i="14" s="1"/>
  <c r="C38" i="9"/>
  <c r="I38" i="9"/>
  <c r="J38" i="9" s="1"/>
  <c r="S38" i="9"/>
  <c r="T38" i="9" s="1"/>
  <c r="D38" i="9"/>
  <c r="N38" i="9"/>
  <c r="O38" i="9" s="1"/>
  <c r="C21" i="9"/>
  <c r="I21" i="9"/>
  <c r="J21" i="9" s="1"/>
  <c r="S21" i="9"/>
  <c r="T21" i="9" s="1"/>
  <c r="D21" i="9"/>
  <c r="N21" i="9"/>
  <c r="O21" i="9" s="1"/>
  <c r="C23" i="9"/>
  <c r="N23" i="9"/>
  <c r="O23" i="9" s="1"/>
  <c r="I23" i="9"/>
  <c r="J23" i="9" s="1"/>
  <c r="D23" i="9"/>
  <c r="S23" i="9"/>
  <c r="T23" i="9" s="1"/>
  <c r="C12" i="9"/>
  <c r="D12" i="9"/>
  <c r="S12" i="9"/>
  <c r="T12" i="9" s="1"/>
  <c r="N12" i="9"/>
  <c r="O12" i="9" s="1"/>
  <c r="I12" i="9"/>
  <c r="J12" i="9" s="1"/>
  <c r="C37" i="9"/>
  <c r="I37" i="9"/>
  <c r="J37" i="9" s="1"/>
  <c r="S37" i="9"/>
  <c r="T37" i="9" s="1"/>
  <c r="D37" i="9"/>
  <c r="N37" i="9"/>
  <c r="O37" i="9" s="1"/>
  <c r="C35" i="9"/>
  <c r="D35" i="9"/>
  <c r="N35" i="9"/>
  <c r="O35" i="9" s="1"/>
  <c r="S35" i="9"/>
  <c r="T35" i="9" s="1"/>
  <c r="I35" i="9"/>
  <c r="J35" i="9" s="1"/>
  <c r="D7" i="17"/>
  <c r="E7" i="17" s="1"/>
  <c r="C13" i="9"/>
  <c r="I13" i="9"/>
  <c r="J13" i="9" s="1"/>
  <c r="D13" i="9"/>
  <c r="S13" i="9"/>
  <c r="T13" i="9" s="1"/>
  <c r="N13" i="9"/>
  <c r="O13" i="9" s="1"/>
  <c r="C11" i="9"/>
  <c r="D11" i="9"/>
  <c r="S11" i="9"/>
  <c r="T11" i="9" s="1"/>
  <c r="N11" i="9"/>
  <c r="O11" i="9" s="1"/>
  <c r="I11" i="9"/>
  <c r="J11" i="9" s="1"/>
  <c r="C27" i="9"/>
  <c r="D27" i="9"/>
  <c r="S27" i="9"/>
  <c r="T27" i="9" s="1"/>
  <c r="N27" i="9"/>
  <c r="O27" i="9" s="1"/>
  <c r="I27" i="9"/>
  <c r="J27" i="9" s="1"/>
  <c r="C32" i="9"/>
  <c r="N32" i="9"/>
  <c r="O32" i="9" s="1"/>
  <c r="I32" i="9"/>
  <c r="J32" i="9" s="1"/>
  <c r="S32" i="9"/>
  <c r="T32" i="9" s="1"/>
  <c r="D32" i="9"/>
  <c r="D15" i="20"/>
  <c r="E15" i="20" s="1"/>
  <c r="C14" i="9"/>
  <c r="I14" i="9"/>
  <c r="J14" i="9" s="1"/>
  <c r="D14" i="9"/>
  <c r="S14" i="9"/>
  <c r="T14" i="9" s="1"/>
  <c r="N14" i="9"/>
  <c r="O14" i="9" s="1"/>
  <c r="C31" i="9"/>
  <c r="N31" i="9"/>
  <c r="O31" i="9" s="1"/>
  <c r="D31" i="9"/>
  <c r="I31" i="9"/>
  <c r="J31" i="9" s="1"/>
  <c r="S31" i="9"/>
  <c r="T31" i="9" s="1"/>
  <c r="C28" i="9"/>
  <c r="D28" i="9"/>
  <c r="N28" i="9"/>
  <c r="O28" i="9" s="1"/>
  <c r="S28" i="9"/>
  <c r="T28" i="9" s="1"/>
  <c r="I28" i="9"/>
  <c r="J28" i="9" s="1"/>
  <c r="C25" i="9"/>
  <c r="S25" i="9"/>
  <c r="T25" i="9" s="1"/>
  <c r="N25" i="9"/>
  <c r="O25" i="9" s="1"/>
  <c r="I25" i="9"/>
  <c r="J25" i="9" s="1"/>
  <c r="D25" i="9"/>
  <c r="S9" i="9"/>
  <c r="T9" i="9" s="1"/>
  <c r="N9" i="9"/>
  <c r="O9" i="9" s="1"/>
  <c r="C33" i="9"/>
  <c r="S33" i="9"/>
  <c r="T33" i="9" s="1"/>
  <c r="I33" i="9"/>
  <c r="J33" i="9" s="1"/>
  <c r="N33" i="9"/>
  <c r="O33" i="9" s="1"/>
  <c r="D33" i="9"/>
  <c r="C24" i="9"/>
  <c r="N24" i="9"/>
  <c r="O24" i="9" s="1"/>
  <c r="I24" i="9"/>
  <c r="J24" i="9" s="1"/>
  <c r="S24" i="9"/>
  <c r="T24" i="9" s="1"/>
  <c r="D24" i="9"/>
  <c r="C19" i="9"/>
  <c r="D19" i="9"/>
  <c r="N19" i="9"/>
  <c r="O19" i="9" s="1"/>
  <c r="S19" i="9"/>
  <c r="T19" i="9" s="1"/>
  <c r="I19" i="9"/>
  <c r="J19" i="9" s="1"/>
  <c r="C26" i="9"/>
  <c r="S26" i="9"/>
  <c r="T26" i="9" s="1"/>
  <c r="I26" i="9"/>
  <c r="J26" i="9" s="1"/>
  <c r="N26" i="9"/>
  <c r="O26" i="9" s="1"/>
  <c r="D26" i="9"/>
  <c r="C7" i="9"/>
  <c r="S7" i="9"/>
  <c r="T7" i="9" s="1"/>
  <c r="I7" i="9"/>
  <c r="J7" i="9" s="1"/>
  <c r="N7" i="9"/>
  <c r="O7" i="9" s="1"/>
  <c r="D7" i="9"/>
  <c r="D22" i="17"/>
  <c r="E22" i="17" s="1"/>
  <c r="C18" i="9"/>
  <c r="S18" i="9"/>
  <c r="T18" i="9" s="1"/>
  <c r="N18" i="9"/>
  <c r="O18" i="9" s="1"/>
  <c r="I18" i="9"/>
  <c r="J18" i="9" s="1"/>
  <c r="D18" i="9"/>
  <c r="C34" i="9"/>
  <c r="S34" i="9"/>
  <c r="T34" i="9" s="1"/>
  <c r="N34" i="9"/>
  <c r="O34" i="9" s="1"/>
  <c r="I34" i="9"/>
  <c r="J34" i="9" s="1"/>
  <c r="D34" i="9"/>
  <c r="C29" i="9"/>
  <c r="I29" i="9"/>
  <c r="J29" i="9" s="1"/>
  <c r="D29" i="9"/>
  <c r="S29" i="9"/>
  <c r="T29" i="9" s="1"/>
  <c r="N29" i="9"/>
  <c r="O29" i="9" s="1"/>
  <c r="C15" i="9"/>
  <c r="N15" i="9"/>
  <c r="O15" i="9" s="1"/>
  <c r="D15" i="9"/>
  <c r="I15" i="9"/>
  <c r="J15" i="9" s="1"/>
  <c r="S15" i="9"/>
  <c r="T15" i="9" s="1"/>
  <c r="D16" i="20"/>
  <c r="E16" i="20" s="1"/>
  <c r="C36" i="9"/>
  <c r="D36" i="9"/>
  <c r="S36" i="9"/>
  <c r="T36" i="9" s="1"/>
  <c r="N36" i="9"/>
  <c r="O36" i="9" s="1"/>
  <c r="I36" i="9"/>
  <c r="J36" i="9" s="1"/>
  <c r="C22" i="9"/>
  <c r="I22" i="9"/>
  <c r="J22" i="9" s="1"/>
  <c r="S22" i="9"/>
  <c r="T22" i="9" s="1"/>
  <c r="D22" i="9"/>
  <c r="N22" i="9"/>
  <c r="O22" i="9" s="1"/>
  <c r="C39" i="9"/>
  <c r="N39" i="9"/>
  <c r="O39" i="9" s="1"/>
  <c r="I39" i="9"/>
  <c r="J39" i="9" s="1"/>
  <c r="D39" i="9"/>
  <c r="S39" i="9"/>
  <c r="T39" i="9" s="1"/>
  <c r="C17" i="9"/>
  <c r="S17" i="9"/>
  <c r="T17" i="9" s="1"/>
  <c r="I17" i="9"/>
  <c r="J17" i="9" s="1"/>
  <c r="N17" i="9"/>
  <c r="O17" i="9" s="1"/>
  <c r="D17" i="9"/>
  <c r="D25" i="14"/>
  <c r="C25" i="14"/>
  <c r="D26" i="14"/>
  <c r="C26" i="14"/>
  <c r="D18" i="14"/>
  <c r="C18" i="14"/>
  <c r="C38" i="8"/>
  <c r="C21" i="8"/>
  <c r="D29" i="14"/>
  <c r="E29" i="14" s="1"/>
  <c r="D41" i="14"/>
  <c r="C41" i="14"/>
  <c r="D16" i="14"/>
  <c r="C16" i="14"/>
  <c r="D9" i="14"/>
  <c r="C9" i="14"/>
  <c r="C8" i="8"/>
  <c r="D13" i="14"/>
  <c r="C13" i="14"/>
  <c r="C26" i="8"/>
  <c r="D7" i="14"/>
  <c r="C7" i="14"/>
  <c r="D35" i="14"/>
  <c r="C35" i="14"/>
  <c r="D30" i="14"/>
  <c r="C30" i="14"/>
  <c r="C18" i="8"/>
  <c r="C34" i="8"/>
  <c r="C28" i="8"/>
  <c r="C15" i="8"/>
  <c r="D11" i="14"/>
  <c r="C11" i="14"/>
  <c r="D15" i="14"/>
  <c r="C15" i="14"/>
  <c r="D20" i="14"/>
  <c r="C20" i="14"/>
  <c r="D12" i="14"/>
  <c r="C12" i="14"/>
  <c r="C36" i="8"/>
  <c r="C22" i="8"/>
  <c r="C16" i="8"/>
  <c r="D21" i="14"/>
  <c r="C21" i="14"/>
  <c r="D32" i="14"/>
  <c r="C32" i="14"/>
  <c r="D17" i="14"/>
  <c r="C17" i="14"/>
  <c r="D38" i="20"/>
  <c r="E38" i="20" s="1"/>
  <c r="C17" i="8"/>
  <c r="C37" i="8"/>
  <c r="C20" i="8"/>
  <c r="D27" i="14"/>
  <c r="C27" i="14"/>
  <c r="D23" i="14"/>
  <c r="C23" i="14"/>
  <c r="D24" i="14"/>
  <c r="C24" i="14"/>
  <c r="C13" i="8"/>
  <c r="C40" i="8"/>
  <c r="D7" i="18"/>
  <c r="C7" i="18"/>
  <c r="D10" i="18"/>
  <c r="E10" i="18" s="1"/>
  <c r="D37" i="18"/>
  <c r="E37" i="18" s="1"/>
  <c r="D32" i="18"/>
  <c r="C32" i="18"/>
  <c r="D17" i="18"/>
  <c r="C17" i="18"/>
  <c r="D40" i="18"/>
  <c r="C40" i="18"/>
  <c r="D31" i="18"/>
  <c r="E31" i="18" s="1"/>
  <c r="D15" i="18"/>
  <c r="C15" i="18"/>
  <c r="D41" i="18"/>
  <c r="C41" i="18"/>
  <c r="D29" i="18"/>
  <c r="E29" i="18" s="1"/>
  <c r="D33" i="18"/>
  <c r="C33" i="18"/>
  <c r="D19" i="18"/>
  <c r="C19" i="18"/>
  <c r="D16" i="18"/>
  <c r="E16" i="18" s="1"/>
  <c r="D24" i="18"/>
  <c r="C24" i="18"/>
  <c r="D25" i="18"/>
  <c r="C25" i="18"/>
  <c r="D22" i="20"/>
  <c r="C22" i="20"/>
  <c r="D37" i="20"/>
  <c r="C37" i="20"/>
  <c r="D12" i="20"/>
  <c r="C12" i="20"/>
  <c r="D39" i="20"/>
  <c r="E39" i="20" s="1"/>
  <c r="D41" i="20"/>
  <c r="C41" i="20"/>
  <c r="D23" i="20"/>
  <c r="E23" i="20" s="1"/>
  <c r="D31" i="20"/>
  <c r="C31" i="20"/>
  <c r="D13" i="20"/>
  <c r="C13" i="20"/>
  <c r="D9" i="20"/>
  <c r="C9" i="20"/>
  <c r="D33" i="20"/>
  <c r="E33" i="20" s="1"/>
  <c r="D10" i="20"/>
  <c r="C10" i="20"/>
  <c r="D32" i="20"/>
  <c r="E32" i="20" s="1"/>
  <c r="D27" i="20"/>
  <c r="C27" i="20"/>
  <c r="D29" i="20"/>
  <c r="C29" i="20"/>
  <c r="D14" i="20"/>
  <c r="C14" i="20"/>
  <c r="D10" i="19"/>
  <c r="C10" i="19"/>
  <c r="D28" i="19"/>
  <c r="C28" i="19"/>
  <c r="D31" i="19"/>
  <c r="C31" i="19"/>
  <c r="D32" i="19"/>
  <c r="C32" i="19"/>
  <c r="D39" i="19"/>
  <c r="C39" i="19"/>
  <c r="D20" i="19"/>
  <c r="C20" i="19"/>
  <c r="D7" i="19"/>
  <c r="C7" i="19"/>
  <c r="D16" i="19"/>
  <c r="C16" i="19"/>
  <c r="D30" i="19"/>
  <c r="C30" i="19"/>
  <c r="D11" i="19"/>
  <c r="C11" i="19"/>
  <c r="D27" i="19"/>
  <c r="C27" i="19"/>
  <c r="D24" i="19"/>
  <c r="C24" i="19"/>
  <c r="D37" i="19"/>
  <c r="C37" i="19"/>
  <c r="D25" i="19"/>
  <c r="C25" i="19"/>
  <c r="D13" i="19"/>
  <c r="C13" i="19"/>
  <c r="D14" i="19"/>
  <c r="C14" i="19"/>
  <c r="D29" i="19"/>
  <c r="C29" i="19"/>
  <c r="D40" i="19"/>
  <c r="C40" i="19"/>
  <c r="D36" i="19"/>
  <c r="C36" i="19"/>
  <c r="D17" i="19"/>
  <c r="C17" i="19"/>
  <c r="D9" i="19"/>
  <c r="C9" i="19"/>
  <c r="D26" i="19"/>
  <c r="C26" i="19"/>
  <c r="D21" i="19"/>
  <c r="C21" i="19"/>
  <c r="D38" i="19"/>
  <c r="C38" i="19"/>
  <c r="D22" i="19"/>
  <c r="C22" i="19"/>
  <c r="D41" i="19"/>
  <c r="C41" i="19"/>
  <c r="D35" i="19"/>
  <c r="C35" i="19"/>
  <c r="D19" i="19"/>
  <c r="C19" i="19"/>
  <c r="D18" i="19"/>
  <c r="C18" i="19"/>
  <c r="D33" i="19"/>
  <c r="C33" i="19"/>
  <c r="D15" i="19"/>
  <c r="C15" i="19"/>
  <c r="D34" i="19"/>
  <c r="C34" i="19"/>
  <c r="D12" i="19"/>
  <c r="C12" i="19"/>
  <c r="D23" i="19"/>
  <c r="C23" i="19"/>
  <c r="D18" i="17"/>
  <c r="C18" i="17"/>
  <c r="D24" i="17"/>
  <c r="E24" i="17" s="1"/>
  <c r="D23" i="17"/>
  <c r="E23" i="17" s="1"/>
  <c r="D29" i="17"/>
  <c r="E29" i="17" s="1"/>
  <c r="D36" i="17"/>
  <c r="E36" i="17" s="1"/>
  <c r="D15" i="17"/>
  <c r="E15" i="17" s="1"/>
  <c r="D13" i="17"/>
  <c r="E13" i="17" s="1"/>
  <c r="D11" i="16"/>
  <c r="E11" i="16" s="1"/>
  <c r="D15" i="16"/>
  <c r="C15" i="16"/>
  <c r="D13" i="16"/>
  <c r="E13" i="16" s="1"/>
  <c r="D18" i="16"/>
  <c r="C18" i="16"/>
  <c r="D9" i="16"/>
  <c r="E9" i="16" s="1"/>
  <c r="D40" i="16"/>
  <c r="C40" i="16"/>
  <c r="D35" i="16"/>
  <c r="C35" i="16"/>
  <c r="D31" i="16"/>
  <c r="E31" i="16" s="1"/>
  <c r="D34" i="16"/>
  <c r="C34" i="16"/>
  <c r="D29" i="16"/>
  <c r="E29" i="16" s="1"/>
  <c r="D26" i="16"/>
  <c r="C26" i="16"/>
  <c r="D33" i="16"/>
  <c r="C33" i="16"/>
  <c r="D23" i="16"/>
  <c r="C23" i="16"/>
  <c r="C16" i="15"/>
  <c r="C36" i="15"/>
  <c r="C24" i="15"/>
  <c r="C7" i="15"/>
  <c r="C21" i="15"/>
  <c r="C20" i="15"/>
  <c r="C30" i="15"/>
  <c r="C37" i="15"/>
  <c r="C22" i="15"/>
  <c r="C18" i="15"/>
  <c r="C12" i="15"/>
  <c r="C13" i="15"/>
  <c r="C9" i="15"/>
  <c r="C35" i="15"/>
  <c r="C31" i="15"/>
  <c r="C33" i="15"/>
  <c r="C41" i="15"/>
  <c r="D32" i="17"/>
  <c r="E9" i="2"/>
  <c r="P9" i="2"/>
  <c r="G9" i="2"/>
  <c r="H9" i="2"/>
  <c r="I9" i="2"/>
  <c r="F9" i="2"/>
  <c r="C9" i="2"/>
  <c r="J9" i="2"/>
  <c r="K9" i="2"/>
  <c r="D9" i="2"/>
  <c r="L9" i="2"/>
  <c r="D12" i="16"/>
  <c r="E12" i="16" s="1"/>
  <c r="D18" i="20"/>
  <c r="E18" i="20" s="1"/>
  <c r="D20" i="18"/>
  <c r="E20" i="18" s="1"/>
  <c r="D36" i="16"/>
  <c r="E36" i="16" s="1"/>
  <c r="D30" i="18"/>
  <c r="E30" i="18" s="1"/>
  <c r="D16" i="16"/>
  <c r="E16" i="16" s="1"/>
  <c r="D27" i="17"/>
  <c r="E27" i="17" s="1"/>
  <c r="D41" i="17"/>
  <c r="E41" i="17" s="1"/>
  <c r="D10" i="14"/>
  <c r="E10" i="14" s="1"/>
  <c r="D37" i="17"/>
  <c r="E37" i="17" s="1"/>
  <c r="D39" i="14"/>
  <c r="E39" i="14" s="1"/>
  <c r="D28" i="14"/>
  <c r="E28" i="14" s="1"/>
  <c r="D20" i="20"/>
  <c r="E20" i="20" s="1"/>
  <c r="D18" i="18"/>
  <c r="E18" i="18" s="1"/>
  <c r="D22" i="16"/>
  <c r="E22" i="16" s="1"/>
  <c r="D40" i="20"/>
  <c r="E40" i="20" s="1"/>
  <c r="D24" i="16"/>
  <c r="E24" i="16" s="1"/>
  <c r="D17" i="17"/>
  <c r="E17" i="17" s="1"/>
  <c r="D37" i="14"/>
  <c r="E37" i="14" s="1"/>
  <c r="D27" i="16"/>
  <c r="E27" i="16" s="1"/>
  <c r="D34" i="14"/>
  <c r="E34" i="14" s="1"/>
  <c r="D10" i="16"/>
  <c r="E10" i="16" s="1"/>
  <c r="D17" i="20"/>
  <c r="E17" i="20" s="1"/>
  <c r="D39" i="18"/>
  <c r="E39" i="18" s="1"/>
  <c r="D27" i="18"/>
  <c r="E27" i="18" s="1"/>
  <c r="D13" i="18"/>
  <c r="E13" i="18" s="1"/>
  <c r="D33" i="17"/>
  <c r="E33" i="17" s="1"/>
  <c r="D40" i="17"/>
  <c r="E40" i="17" s="1"/>
  <c r="D19" i="17"/>
  <c r="E19" i="17" s="1"/>
  <c r="D14" i="16"/>
  <c r="E14" i="16" s="1"/>
  <c r="D7" i="16"/>
  <c r="E7" i="16" s="1"/>
  <c r="D28" i="20"/>
  <c r="E28" i="20" s="1"/>
  <c r="D22" i="18"/>
  <c r="E22" i="18" s="1"/>
  <c r="D25" i="16"/>
  <c r="E25" i="16" s="1"/>
  <c r="D14" i="18"/>
  <c r="E14" i="18" s="1"/>
  <c r="D14" i="14"/>
  <c r="E14" i="14" s="1"/>
  <c r="D30" i="20"/>
  <c r="E30" i="20" s="1"/>
  <c r="D21" i="20"/>
  <c r="E21" i="20" s="1"/>
  <c r="D36" i="18"/>
  <c r="E36" i="18" s="1"/>
  <c r="D20" i="16"/>
  <c r="E20" i="16" s="1"/>
  <c r="D22" i="14"/>
  <c r="E22" i="14" s="1"/>
  <c r="D26" i="20"/>
  <c r="E26" i="20" s="1"/>
  <c r="D34" i="18"/>
  <c r="E34" i="18" s="1"/>
  <c r="D23" i="18"/>
  <c r="E23" i="18" s="1"/>
  <c r="C3" i="17"/>
  <c r="C3" i="21"/>
  <c r="J7" i="21" s="1"/>
  <c r="D12" i="17"/>
  <c r="E12" i="17" s="1"/>
  <c r="D39" i="16"/>
  <c r="E39" i="16" s="1"/>
  <c r="D26" i="17"/>
  <c r="E26" i="17" s="1"/>
  <c r="D38" i="17"/>
  <c r="E38" i="17" s="1"/>
  <c r="D28" i="18"/>
  <c r="E28" i="18" s="1"/>
  <c r="D21" i="18"/>
  <c r="E21" i="18" s="1"/>
  <c r="D11" i="17"/>
  <c r="E11" i="17" s="1"/>
  <c r="D28" i="16"/>
  <c r="E28" i="16" s="1"/>
  <c r="D31" i="17"/>
  <c r="E31" i="17" s="1"/>
  <c r="D16" i="17"/>
  <c r="E16" i="17" s="1"/>
  <c r="D7" i="20"/>
  <c r="E7" i="20" s="1"/>
  <c r="D35" i="20"/>
  <c r="E35" i="20" s="1"/>
  <c r="D24" i="20"/>
  <c r="E24" i="20" s="1"/>
  <c r="D35" i="18"/>
  <c r="E35" i="18" s="1"/>
  <c r="D26" i="18"/>
  <c r="E26" i="18" s="1"/>
  <c r="D35" i="17"/>
  <c r="E35" i="17" s="1"/>
  <c r="D34" i="17"/>
  <c r="E34" i="17" s="1"/>
  <c r="D28" i="17"/>
  <c r="E28" i="17" s="1"/>
  <c r="D38" i="16"/>
  <c r="E38" i="16" s="1"/>
  <c r="D11" i="20"/>
  <c r="E11" i="20" s="1"/>
  <c r="D38" i="18"/>
  <c r="E38" i="18" s="1"/>
  <c r="D30" i="16"/>
  <c r="E30" i="16" s="1"/>
  <c r="D21" i="16"/>
  <c r="E21" i="16" s="1"/>
  <c r="D19" i="16"/>
  <c r="E19" i="16" s="1"/>
  <c r="D9" i="18"/>
  <c r="E9" i="18" s="1"/>
  <c r="D36" i="14"/>
  <c r="E36" i="14" s="1"/>
  <c r="D19" i="14"/>
  <c r="E19" i="14" s="1"/>
  <c r="D37" i="16"/>
  <c r="E37" i="16" s="1"/>
  <c r="D32" i="16"/>
  <c r="E32" i="16" s="1"/>
  <c r="D9" i="17"/>
  <c r="E9" i="17" s="1"/>
  <c r="D21" i="17"/>
  <c r="E21" i="17" s="1"/>
  <c r="D10" i="17"/>
  <c r="E10" i="17" s="1"/>
  <c r="D39" i="17"/>
  <c r="E39" i="17" s="1"/>
  <c r="D14" i="17"/>
  <c r="E14" i="17" s="1"/>
  <c r="C3" i="18"/>
  <c r="E25" i="17"/>
  <c r="C3" i="8"/>
  <c r="C3" i="4"/>
  <c r="C2" i="9"/>
  <c r="C3" i="9" s="1"/>
  <c r="E9" i="9" s="1"/>
  <c r="C3" i="14"/>
  <c r="C45" i="1"/>
  <c r="P11" i="1" s="1"/>
  <c r="D31" i="14"/>
  <c r="E31" i="14" s="1"/>
  <c r="D34" i="20"/>
  <c r="E34" i="20" s="1"/>
  <c r="C41" i="4"/>
  <c r="D39" i="4" s="1"/>
  <c r="E11" i="18"/>
  <c r="C3" i="16"/>
  <c r="C3" i="15"/>
  <c r="C3" i="20"/>
  <c r="C3" i="19"/>
  <c r="E12" i="18"/>
  <c r="E19" i="15" l="1"/>
  <c r="E38" i="15"/>
  <c r="E40" i="15"/>
  <c r="E34" i="15"/>
  <c r="E17" i="15"/>
  <c r="E25" i="15"/>
  <c r="E27" i="15"/>
  <c r="E15" i="15"/>
  <c r="E28" i="15"/>
  <c r="E14" i="15"/>
  <c r="E7" i="21"/>
  <c r="H8" i="8"/>
  <c r="H10" i="8"/>
  <c r="H20" i="8"/>
  <c r="H36" i="8"/>
  <c r="H13" i="8"/>
  <c r="H37" i="8"/>
  <c r="H15" i="8"/>
  <c r="H40" i="8"/>
  <c r="H17" i="8"/>
  <c r="H16" i="8"/>
  <c r="H28" i="8"/>
  <c r="H21" i="8"/>
  <c r="H18" i="8"/>
  <c r="H22" i="8"/>
  <c r="H34" i="8"/>
  <c r="H26" i="8"/>
  <c r="H38" i="8"/>
  <c r="E25" i="9"/>
  <c r="E28" i="9"/>
  <c r="E37" i="9"/>
  <c r="E40" i="9"/>
  <c r="E36" i="9"/>
  <c r="E24" i="9"/>
  <c r="E14" i="9"/>
  <c r="E41" i="9"/>
  <c r="E22" i="9"/>
  <c r="E7" i="9"/>
  <c r="E11" i="9"/>
  <c r="E23" i="9"/>
  <c r="E29" i="9"/>
  <c r="E18" i="9"/>
  <c r="E31" i="9"/>
  <c r="E38" i="9"/>
  <c r="E10" i="9"/>
  <c r="E20" i="9"/>
  <c r="E39" i="9"/>
  <c r="E32" i="9"/>
  <c r="E27" i="9"/>
  <c r="E35" i="9"/>
  <c r="E33" i="9"/>
  <c r="E13" i="9"/>
  <c r="E30" i="9"/>
  <c r="E17" i="9"/>
  <c r="E15" i="9"/>
  <c r="E34" i="9"/>
  <c r="E26" i="9"/>
  <c r="E19" i="9"/>
  <c r="E12" i="9"/>
  <c r="E21" i="9"/>
  <c r="E16" i="9"/>
  <c r="D42" i="19"/>
  <c r="H39" i="8"/>
  <c r="H41" i="8"/>
  <c r="H19" i="8"/>
  <c r="H12" i="8"/>
  <c r="H30" i="8"/>
  <c r="H31" i="8"/>
  <c r="H35" i="8"/>
  <c r="H32" i="8"/>
  <c r="H24" i="8"/>
  <c r="H11" i="8"/>
  <c r="H29" i="8"/>
  <c r="H27" i="8"/>
  <c r="H14" i="8"/>
  <c r="H23" i="8"/>
  <c r="H25" i="8"/>
  <c r="H33" i="8"/>
  <c r="E42" i="8"/>
  <c r="F42" i="8" s="1"/>
  <c r="E9" i="14"/>
  <c r="F21" i="9"/>
  <c r="F16" i="9"/>
  <c r="F17" i="9"/>
  <c r="F34" i="9"/>
  <c r="F26" i="9"/>
  <c r="E17" i="18"/>
  <c r="E21" i="14"/>
  <c r="F39" i="9"/>
  <c r="F13" i="9"/>
  <c r="E11" i="14"/>
  <c r="F18" i="9"/>
  <c r="F19" i="9"/>
  <c r="F12" i="9"/>
  <c r="F10" i="9"/>
  <c r="F30" i="9"/>
  <c r="F15" i="9"/>
  <c r="F32" i="9"/>
  <c r="E41" i="15"/>
  <c r="E18" i="15"/>
  <c r="E20" i="15"/>
  <c r="E36" i="15"/>
  <c r="E26" i="16"/>
  <c r="E40" i="16"/>
  <c r="E41" i="14"/>
  <c r="F14" i="9"/>
  <c r="F11" i="9"/>
  <c r="F22" i="9"/>
  <c r="E24" i="14"/>
  <c r="E35" i="15"/>
  <c r="E30" i="15"/>
  <c r="E24" i="15"/>
  <c r="E35" i="16"/>
  <c r="E41" i="20"/>
  <c r="E33" i="18"/>
  <c r="E40" i="18"/>
  <c r="E7" i="18"/>
  <c r="E27" i="14"/>
  <c r="F33" i="9"/>
  <c r="F23" i="9"/>
  <c r="K24" i="9"/>
  <c r="U25" i="9"/>
  <c r="K23" i="9"/>
  <c r="P41" i="9"/>
  <c r="U20" i="9"/>
  <c r="K22" i="9"/>
  <c r="K19" i="9"/>
  <c r="U27" i="9"/>
  <c r="K12" i="9"/>
  <c r="U41" i="9"/>
  <c r="P30" i="9"/>
  <c r="E25" i="14"/>
  <c r="U15" i="9"/>
  <c r="K18" i="9"/>
  <c r="U19" i="9"/>
  <c r="P9" i="9"/>
  <c r="U38" i="9"/>
  <c r="P10" i="9"/>
  <c r="F41" i="9"/>
  <c r="F20" i="9"/>
  <c r="K39" i="9"/>
  <c r="K36" i="9"/>
  <c r="K15" i="9"/>
  <c r="F29" i="9"/>
  <c r="P18" i="9"/>
  <c r="F7" i="9"/>
  <c r="P19" i="9"/>
  <c r="U9" i="9"/>
  <c r="U28" i="9"/>
  <c r="F31" i="9"/>
  <c r="U32" i="9"/>
  <c r="F27" i="9"/>
  <c r="F35" i="9"/>
  <c r="U12" i="9"/>
  <c r="P21" i="9"/>
  <c r="K38" i="9"/>
  <c r="K10" i="9"/>
  <c r="U16" i="9"/>
  <c r="U22" i="9"/>
  <c r="U29" i="9"/>
  <c r="N42" i="9"/>
  <c r="P7" i="9"/>
  <c r="K31" i="9"/>
  <c r="P27" i="9"/>
  <c r="U35" i="9"/>
  <c r="F37" i="9"/>
  <c r="P38" i="9"/>
  <c r="F40" i="9"/>
  <c r="U39" i="9"/>
  <c r="K7" i="9"/>
  <c r="I42" i="9"/>
  <c r="P24" i="9"/>
  <c r="F25" i="9"/>
  <c r="P13" i="9"/>
  <c r="P35" i="9"/>
  <c r="P23" i="9"/>
  <c r="E30" i="14"/>
  <c r="K29" i="9"/>
  <c r="U7" i="9"/>
  <c r="S42" i="9"/>
  <c r="F24" i="9"/>
  <c r="K28" i="9"/>
  <c r="P31" i="9"/>
  <c r="U13" i="9"/>
  <c r="P12" i="9"/>
  <c r="U30" i="9"/>
  <c r="E23" i="14"/>
  <c r="E17" i="14"/>
  <c r="P39" i="9"/>
  <c r="P36" i="9"/>
  <c r="U18" i="9"/>
  <c r="P33" i="9"/>
  <c r="P28" i="9"/>
  <c r="P14" i="9"/>
  <c r="K32" i="9"/>
  <c r="K11" i="9"/>
  <c r="K13" i="9"/>
  <c r="P37" i="9"/>
  <c r="F38" i="9"/>
  <c r="U10" i="9"/>
  <c r="U40" i="9"/>
  <c r="K30" i="9"/>
  <c r="P17" i="9"/>
  <c r="U36" i="9"/>
  <c r="P15" i="9"/>
  <c r="K34" i="9"/>
  <c r="P26" i="9"/>
  <c r="K33" i="9"/>
  <c r="U14" i="9"/>
  <c r="P32" i="9"/>
  <c r="P11" i="9"/>
  <c r="U21" i="9"/>
  <c r="K16" i="9"/>
  <c r="E12" i="14"/>
  <c r="E7" i="14"/>
  <c r="K17" i="9"/>
  <c r="P22" i="9"/>
  <c r="P34" i="9"/>
  <c r="K26" i="9"/>
  <c r="U33" i="9"/>
  <c r="K25" i="9"/>
  <c r="F28" i="9"/>
  <c r="U11" i="9"/>
  <c r="U37" i="9"/>
  <c r="U23" i="9"/>
  <c r="K21" i="9"/>
  <c r="K40" i="9"/>
  <c r="K20" i="9"/>
  <c r="P16" i="9"/>
  <c r="E20" i="14"/>
  <c r="E26" i="14"/>
  <c r="U17" i="9"/>
  <c r="F36" i="9"/>
  <c r="P29" i="9"/>
  <c r="U34" i="9"/>
  <c r="D42" i="9"/>
  <c r="U26" i="9"/>
  <c r="U24" i="9"/>
  <c r="P25" i="9"/>
  <c r="U31" i="9"/>
  <c r="K14" i="9"/>
  <c r="K27" i="9"/>
  <c r="K35" i="9"/>
  <c r="K37" i="9"/>
  <c r="K41" i="9"/>
  <c r="P40" i="9"/>
  <c r="P20" i="9"/>
  <c r="E32" i="14"/>
  <c r="E16" i="14"/>
  <c r="E18" i="17"/>
  <c r="E35" i="19"/>
  <c r="E21" i="19"/>
  <c r="E13" i="19"/>
  <c r="E29" i="20"/>
  <c r="E25" i="18"/>
  <c r="E33" i="19"/>
  <c r="E26" i="19"/>
  <c r="E40" i="19"/>
  <c r="E11" i="19"/>
  <c r="E20" i="19"/>
  <c r="E28" i="19"/>
  <c r="E27" i="20"/>
  <c r="E13" i="20"/>
  <c r="E12" i="20"/>
  <c r="E24" i="18"/>
  <c r="E41" i="18"/>
  <c r="E15" i="14"/>
  <c r="E13" i="14"/>
  <c r="E35" i="14"/>
  <c r="E18" i="14"/>
  <c r="E12" i="19"/>
  <c r="E18" i="19"/>
  <c r="E22" i="19"/>
  <c r="E9" i="19"/>
  <c r="E29" i="19"/>
  <c r="E37" i="19"/>
  <c r="E30" i="19"/>
  <c r="E39" i="19"/>
  <c r="E10" i="19"/>
  <c r="E15" i="18"/>
  <c r="E17" i="19"/>
  <c r="E22" i="20"/>
  <c r="E33" i="15"/>
  <c r="E22" i="15"/>
  <c r="E21" i="15"/>
  <c r="E16" i="15"/>
  <c r="E32" i="18"/>
  <c r="E31" i="15"/>
  <c r="E37" i="15"/>
  <c r="E7" i="15"/>
  <c r="E23" i="16"/>
  <c r="E10" i="20"/>
  <c r="E19" i="19"/>
  <c r="E14" i="20"/>
  <c r="E23" i="19"/>
  <c r="E9" i="15"/>
  <c r="E41" i="19"/>
  <c r="E25" i="19"/>
  <c r="E34" i="16"/>
  <c r="E18" i="16"/>
  <c r="E31" i="20"/>
  <c r="E37" i="20"/>
  <c r="E12" i="15"/>
  <c r="E34" i="19"/>
  <c r="E38" i="19"/>
  <c r="E14" i="19"/>
  <c r="E24" i="19"/>
  <c r="E16" i="19"/>
  <c r="E32" i="19"/>
  <c r="E19" i="18"/>
  <c r="E33" i="16"/>
  <c r="E15" i="16"/>
  <c r="E15" i="19"/>
  <c r="E36" i="19"/>
  <c r="E7" i="19"/>
  <c r="E31" i="19"/>
  <c r="E9" i="20"/>
  <c r="E13" i="15"/>
  <c r="C4" i="21"/>
  <c r="J8" i="21"/>
  <c r="J9" i="21"/>
  <c r="J10" i="21"/>
  <c r="J11" i="21"/>
  <c r="P38" i="1"/>
  <c r="P10" i="1"/>
  <c r="E32" i="17"/>
  <c r="C42" i="17"/>
  <c r="C42" i="15"/>
  <c r="C42" i="18"/>
  <c r="C42" i="14"/>
  <c r="C42" i="16"/>
  <c r="C42" i="19"/>
  <c r="D42" i="15"/>
  <c r="C42" i="8"/>
  <c r="C42" i="9"/>
  <c r="C42" i="20"/>
  <c r="E11" i="15"/>
  <c r="P41" i="1"/>
  <c r="P15" i="1"/>
  <c r="P13" i="1"/>
  <c r="P31" i="1"/>
  <c r="P16" i="1"/>
  <c r="P20" i="1"/>
  <c r="P19" i="1"/>
  <c r="P28" i="1"/>
  <c r="P12" i="1"/>
  <c r="P17" i="1"/>
  <c r="P44" i="1"/>
  <c r="P43" i="1"/>
  <c r="P23" i="1"/>
  <c r="P37" i="1"/>
  <c r="P26" i="1"/>
  <c r="P40" i="1"/>
  <c r="P27" i="1"/>
  <c r="P21" i="1"/>
  <c r="P25" i="1"/>
  <c r="P39" i="1"/>
  <c r="P14" i="1"/>
  <c r="P34" i="1"/>
  <c r="P33" i="1"/>
  <c r="P36" i="1"/>
  <c r="P30" i="1"/>
  <c r="P32" i="1"/>
  <c r="P42" i="1"/>
  <c r="P22" i="1"/>
  <c r="P29" i="1"/>
  <c r="P18" i="1"/>
  <c r="P24" i="1"/>
  <c r="P35" i="1"/>
  <c r="E27" i="19"/>
  <c r="D42" i="14"/>
  <c r="D13" i="4"/>
  <c r="D27" i="4"/>
  <c r="D36" i="4"/>
  <c r="D24" i="4"/>
  <c r="D30" i="4"/>
  <c r="D26" i="4"/>
  <c r="D18" i="4"/>
  <c r="D11" i="4"/>
  <c r="D33" i="4"/>
  <c r="D29" i="4"/>
  <c r="D15" i="4"/>
  <c r="D25" i="4"/>
  <c r="D17" i="4"/>
  <c r="D19" i="4"/>
  <c r="D28" i="4"/>
  <c r="D12" i="4"/>
  <c r="D20" i="4"/>
  <c r="D32" i="4"/>
  <c r="D22" i="4"/>
  <c r="D14" i="4"/>
  <c r="D34" i="4"/>
  <c r="D7" i="4"/>
  <c r="D31" i="4"/>
  <c r="D10" i="4"/>
  <c r="D8" i="4"/>
  <c r="D16" i="4"/>
  <c r="D21" i="4"/>
  <c r="D9" i="4"/>
  <c r="D37" i="4"/>
  <c r="D38" i="4"/>
  <c r="D40" i="4"/>
  <c r="D23" i="4"/>
  <c r="D35" i="4"/>
  <c r="H42" i="8" l="1"/>
  <c r="U42" i="9"/>
  <c r="F42" i="9"/>
  <c r="E42" i="9"/>
  <c r="E42" i="17"/>
  <c r="J42" i="9"/>
  <c r="P42" i="9"/>
  <c r="O42" i="9"/>
  <c r="E42" i="14"/>
  <c r="T42" i="9"/>
  <c r="K42" i="9"/>
  <c r="E42" i="18"/>
  <c r="E42" i="16"/>
  <c r="E42" i="20"/>
  <c r="E42" i="15"/>
  <c r="E17" i="21"/>
  <c r="E25" i="21"/>
  <c r="E41" i="21"/>
  <c r="E34" i="21"/>
  <c r="E18" i="21"/>
  <c r="E38" i="21"/>
  <c r="E19" i="21"/>
  <c r="E31" i="21"/>
  <c r="E28" i="21"/>
  <c r="E36" i="21"/>
  <c r="E8" i="21"/>
  <c r="E33" i="21"/>
  <c r="E42" i="21"/>
  <c r="E23" i="21"/>
  <c r="E16" i="21"/>
  <c r="E9" i="21"/>
  <c r="D44" i="1"/>
  <c r="E40" i="21"/>
  <c r="E26" i="21"/>
  <c r="E30" i="21"/>
  <c r="E21" i="21"/>
  <c r="E15" i="21"/>
  <c r="E10" i="21"/>
  <c r="E11" i="21"/>
  <c r="E39" i="21"/>
  <c r="F39" i="21" s="1"/>
  <c r="E20" i="21"/>
  <c r="E14" i="21"/>
  <c r="E24" i="21"/>
  <c r="E29" i="21"/>
  <c r="E37" i="21"/>
  <c r="E12" i="21"/>
  <c r="E13" i="21"/>
  <c r="E22" i="21"/>
  <c r="E27" i="21"/>
  <c r="E35" i="21"/>
  <c r="E42" i="19"/>
  <c r="P45" i="1"/>
  <c r="D41" i="4"/>
  <c r="C4" i="8"/>
  <c r="G10" i="8" s="1"/>
  <c r="F13" i="15" l="1"/>
  <c r="F8" i="15"/>
  <c r="F7" i="14"/>
  <c r="F8" i="14"/>
  <c r="F34" i="21"/>
  <c r="E45" i="21"/>
  <c r="G9" i="9"/>
  <c r="H9" i="9" s="1"/>
  <c r="F12" i="18"/>
  <c r="F8" i="18"/>
  <c r="F7" i="20"/>
  <c r="F8" i="20"/>
  <c r="F26" i="17"/>
  <c r="F8" i="17"/>
  <c r="F27" i="19"/>
  <c r="F8" i="19"/>
  <c r="F9" i="16"/>
  <c r="F8" i="16"/>
  <c r="I40" i="8"/>
  <c r="I7" i="8"/>
  <c r="G36" i="8"/>
  <c r="G38" i="8"/>
  <c r="G22" i="8"/>
  <c r="G21" i="8"/>
  <c r="G16" i="8"/>
  <c r="G26" i="8"/>
  <c r="G17" i="8"/>
  <c r="G18" i="8"/>
  <c r="G37" i="8"/>
  <c r="G34" i="8"/>
  <c r="G20" i="8"/>
  <c r="G28" i="8"/>
  <c r="G13" i="8"/>
  <c r="G15" i="8"/>
  <c r="G40" i="8"/>
  <c r="G14" i="8"/>
  <c r="G39" i="8"/>
  <c r="G33" i="8"/>
  <c r="G30" i="8"/>
  <c r="G19" i="8"/>
  <c r="G11" i="8"/>
  <c r="G31" i="8"/>
  <c r="G12" i="8"/>
  <c r="G24" i="8"/>
  <c r="G29" i="8"/>
  <c r="G35" i="8"/>
  <c r="G25" i="8"/>
  <c r="G27" i="8"/>
  <c r="G41" i="8"/>
  <c r="G32" i="8"/>
  <c r="G23" i="8"/>
  <c r="F25" i="19"/>
  <c r="I30" i="8"/>
  <c r="I35" i="8"/>
  <c r="I17" i="8"/>
  <c r="I14" i="8"/>
  <c r="I15" i="8"/>
  <c r="I31" i="8"/>
  <c r="I21" i="8"/>
  <c r="I41" i="8"/>
  <c r="I26" i="8"/>
  <c r="I39" i="8"/>
  <c r="I28" i="8"/>
  <c r="I24" i="8"/>
  <c r="I38" i="8"/>
  <c r="I36" i="8"/>
  <c r="I27" i="8"/>
  <c r="I11" i="8"/>
  <c r="I13" i="8"/>
  <c r="I19" i="8"/>
  <c r="I25" i="8"/>
  <c r="I16" i="8"/>
  <c r="I34" i="8"/>
  <c r="F33" i="18"/>
  <c r="I33" i="8"/>
  <c r="I12" i="8"/>
  <c r="I20" i="8"/>
  <c r="I22" i="8"/>
  <c r="I29" i="8"/>
  <c r="I32" i="8"/>
  <c r="I8" i="8"/>
  <c r="I37" i="8"/>
  <c r="I23" i="8"/>
  <c r="I10" i="8"/>
  <c r="I18" i="8"/>
  <c r="F34" i="18"/>
  <c r="F29" i="18"/>
  <c r="F21" i="18"/>
  <c r="F14" i="17"/>
  <c r="F33" i="17"/>
  <c r="F21" i="17"/>
  <c r="F32" i="18"/>
  <c r="F22" i="17"/>
  <c r="F20" i="18"/>
  <c r="F35" i="17"/>
  <c r="F22" i="18"/>
  <c r="F40" i="17"/>
  <c r="F15" i="17"/>
  <c r="F12" i="17"/>
  <c r="F24" i="17"/>
  <c r="F13" i="18"/>
  <c r="F18" i="17"/>
  <c r="F23" i="17"/>
  <c r="F25" i="18"/>
  <c r="F32" i="17"/>
  <c r="F27" i="17"/>
  <c r="F7" i="18"/>
  <c r="F15" i="18"/>
  <c r="F38" i="17"/>
  <c r="F35" i="14"/>
  <c r="F11" i="14"/>
  <c r="F32" i="14"/>
  <c r="F16" i="14"/>
  <c r="F19" i="18"/>
  <c r="F39" i="18"/>
  <c r="F35" i="18"/>
  <c r="F19" i="17"/>
  <c r="F37" i="17"/>
  <c r="F39" i="14"/>
  <c r="F34" i="14"/>
  <c r="F22" i="14"/>
  <c r="F23" i="14"/>
  <c r="F13" i="14"/>
  <c r="F18" i="14"/>
  <c r="F41" i="18"/>
  <c r="F26" i="18"/>
  <c r="F29" i="17"/>
  <c r="F36" i="17"/>
  <c r="F7" i="17"/>
  <c r="F19" i="14"/>
  <c r="F9" i="14"/>
  <c r="F28" i="14"/>
  <c r="F41" i="14"/>
  <c r="F33" i="14"/>
  <c r="F21" i="14"/>
  <c r="F17" i="14"/>
  <c r="F27" i="14"/>
  <c r="F36" i="14"/>
  <c r="F12" i="14"/>
  <c r="F31" i="14"/>
  <c r="F15" i="14"/>
  <c r="F40" i="14"/>
  <c r="F24" i="18"/>
  <c r="F30" i="18"/>
  <c r="F13" i="17"/>
  <c r="F30" i="14"/>
  <c r="F14" i="14"/>
  <c r="F30" i="17"/>
  <c r="F9" i="18"/>
  <c r="F31" i="18"/>
  <c r="F16" i="17"/>
  <c r="F25" i="17"/>
  <c r="F10" i="17"/>
  <c r="F38" i="14"/>
  <c r="F29" i="14"/>
  <c r="F37" i="14"/>
  <c r="F10" i="14"/>
  <c r="Q12" i="9"/>
  <c r="R12" i="9" s="1"/>
  <c r="Q21" i="9"/>
  <c r="R21" i="9" s="1"/>
  <c r="Q41" i="9"/>
  <c r="R41" i="9" s="1"/>
  <c r="Q29" i="9"/>
  <c r="R29" i="9" s="1"/>
  <c r="Q10" i="9"/>
  <c r="R10" i="9" s="1"/>
  <c r="Q31" i="9"/>
  <c r="R31" i="9" s="1"/>
  <c r="Q24" i="9"/>
  <c r="R24" i="9" s="1"/>
  <c r="Q27" i="9"/>
  <c r="R27" i="9" s="1"/>
  <c r="Q35" i="9"/>
  <c r="R35" i="9" s="1"/>
  <c r="Q20" i="9"/>
  <c r="R20" i="9" s="1"/>
  <c r="Q7" i="9"/>
  <c r="Q11" i="9"/>
  <c r="R11" i="9" s="1"/>
  <c r="Q9" i="9"/>
  <c r="R9" i="9" s="1"/>
  <c r="Q34" i="9"/>
  <c r="R34" i="9" s="1"/>
  <c r="Q15" i="9"/>
  <c r="R15" i="9" s="1"/>
  <c r="Q40" i="9"/>
  <c r="R40" i="9" s="1"/>
  <c r="Q14" i="9"/>
  <c r="R14" i="9" s="1"/>
  <c r="Q19" i="9"/>
  <c r="R19" i="9" s="1"/>
  <c r="Q32" i="9"/>
  <c r="R32" i="9" s="1"/>
  <c r="Q16" i="9"/>
  <c r="R16" i="9" s="1"/>
  <c r="Q37" i="9"/>
  <c r="R37" i="9" s="1"/>
  <c r="Q25" i="9"/>
  <c r="R25" i="9" s="1"/>
  <c r="Q23" i="9"/>
  <c r="R23" i="9" s="1"/>
  <c r="Q26" i="9"/>
  <c r="R26" i="9" s="1"/>
  <c r="Q22" i="9"/>
  <c r="R22" i="9" s="1"/>
  <c r="Q17" i="9"/>
  <c r="R17" i="9" s="1"/>
  <c r="Q33" i="9"/>
  <c r="R33" i="9" s="1"/>
  <c r="Q13" i="9"/>
  <c r="R13" i="9" s="1"/>
  <c r="Q28" i="9"/>
  <c r="R28" i="9" s="1"/>
  <c r="Q36" i="9"/>
  <c r="R36" i="9" s="1"/>
  <c r="Q18" i="9"/>
  <c r="R18" i="9" s="1"/>
  <c r="Q38" i="9"/>
  <c r="R38" i="9" s="1"/>
  <c r="Q30" i="9"/>
  <c r="R30" i="9" s="1"/>
  <c r="Q39" i="9"/>
  <c r="R39" i="9" s="1"/>
  <c r="L11" i="9"/>
  <c r="M11" i="9" s="1"/>
  <c r="L24" i="9"/>
  <c r="M24" i="9" s="1"/>
  <c r="L36" i="9"/>
  <c r="M36" i="9" s="1"/>
  <c r="L15" i="9"/>
  <c r="M15" i="9" s="1"/>
  <c r="L33" i="9"/>
  <c r="M33" i="9" s="1"/>
  <c r="L27" i="9"/>
  <c r="M27" i="9" s="1"/>
  <c r="L34" i="9"/>
  <c r="M34" i="9" s="1"/>
  <c r="L14" i="9"/>
  <c r="M14" i="9" s="1"/>
  <c r="L26" i="9"/>
  <c r="M26" i="9" s="1"/>
  <c r="L35" i="9"/>
  <c r="M35" i="9" s="1"/>
  <c r="L40" i="9"/>
  <c r="M40" i="9" s="1"/>
  <c r="L12" i="9"/>
  <c r="M12" i="9" s="1"/>
  <c r="L28" i="9"/>
  <c r="M28" i="9" s="1"/>
  <c r="L20" i="9"/>
  <c r="M20" i="9" s="1"/>
  <c r="L10" i="9"/>
  <c r="M10" i="9" s="1"/>
  <c r="L25" i="9"/>
  <c r="M25" i="9" s="1"/>
  <c r="L7" i="9"/>
  <c r="L29" i="9"/>
  <c r="M29" i="9" s="1"/>
  <c r="L30" i="9"/>
  <c r="M30" i="9" s="1"/>
  <c r="L9" i="9"/>
  <c r="M9" i="9" s="1"/>
  <c r="L31" i="9"/>
  <c r="M31" i="9" s="1"/>
  <c r="L19" i="9"/>
  <c r="M19" i="9" s="1"/>
  <c r="L16" i="9"/>
  <c r="M16" i="9" s="1"/>
  <c r="L17" i="9"/>
  <c r="M17" i="9" s="1"/>
  <c r="L21" i="9"/>
  <c r="M21" i="9" s="1"/>
  <c r="L39" i="9"/>
  <c r="M39" i="9" s="1"/>
  <c r="L22" i="9"/>
  <c r="M22" i="9" s="1"/>
  <c r="L32" i="9"/>
  <c r="M32" i="9" s="1"/>
  <c r="L13" i="9"/>
  <c r="M13" i="9" s="1"/>
  <c r="L18" i="9"/>
  <c r="M18" i="9" s="1"/>
  <c r="L23" i="9"/>
  <c r="M23" i="9" s="1"/>
  <c r="L37" i="9"/>
  <c r="M37" i="9" s="1"/>
  <c r="L38" i="9"/>
  <c r="M38" i="9" s="1"/>
  <c r="L41" i="9"/>
  <c r="M41" i="9" s="1"/>
  <c r="F41" i="17"/>
  <c r="F31" i="17"/>
  <c r="F17" i="17"/>
  <c r="F20" i="17"/>
  <c r="F34" i="17"/>
  <c r="G24" i="9"/>
  <c r="H24" i="9" s="1"/>
  <c r="G37" i="9"/>
  <c r="H37" i="9" s="1"/>
  <c r="G34" i="9"/>
  <c r="H34" i="9" s="1"/>
  <c r="G19" i="9"/>
  <c r="H19" i="9" s="1"/>
  <c r="G16" i="9"/>
  <c r="H16" i="9" s="1"/>
  <c r="G25" i="9"/>
  <c r="H25" i="9" s="1"/>
  <c r="G36" i="9"/>
  <c r="H36" i="9" s="1"/>
  <c r="G40" i="9"/>
  <c r="H40" i="9" s="1"/>
  <c r="G21" i="9"/>
  <c r="H21" i="9" s="1"/>
  <c r="G10" i="9"/>
  <c r="H10" i="9" s="1"/>
  <c r="G26" i="9"/>
  <c r="H26" i="9" s="1"/>
  <c r="G38" i="9"/>
  <c r="H38" i="9" s="1"/>
  <c r="G17" i="9"/>
  <c r="H17" i="9" s="1"/>
  <c r="G27" i="9"/>
  <c r="H27" i="9" s="1"/>
  <c r="G30" i="9"/>
  <c r="H30" i="9" s="1"/>
  <c r="G33" i="9"/>
  <c r="H33" i="9" s="1"/>
  <c r="G7" i="9"/>
  <c r="G41" i="9"/>
  <c r="H41" i="9" s="1"/>
  <c r="G32" i="9"/>
  <c r="H32" i="9" s="1"/>
  <c r="G23" i="9"/>
  <c r="H23" i="9" s="1"/>
  <c r="G22" i="9"/>
  <c r="H22" i="9" s="1"/>
  <c r="G35" i="9"/>
  <c r="H35" i="9" s="1"/>
  <c r="G14" i="9"/>
  <c r="H14" i="9" s="1"/>
  <c r="G11" i="9"/>
  <c r="H11" i="9" s="1"/>
  <c r="G20" i="9"/>
  <c r="H20" i="9" s="1"/>
  <c r="G31" i="9"/>
  <c r="H31" i="9" s="1"/>
  <c r="G29" i="9"/>
  <c r="H29" i="9" s="1"/>
  <c r="G13" i="9"/>
  <c r="H13" i="9" s="1"/>
  <c r="G15" i="9"/>
  <c r="H15" i="9" s="1"/>
  <c r="G28" i="9"/>
  <c r="H28" i="9" s="1"/>
  <c r="G39" i="9"/>
  <c r="H39" i="9" s="1"/>
  <c r="G12" i="9"/>
  <c r="H12" i="9" s="1"/>
  <c r="F16" i="18"/>
  <c r="F40" i="18"/>
  <c r="F28" i="17"/>
  <c r="F11" i="17"/>
  <c r="F39" i="17"/>
  <c r="F9" i="17"/>
  <c r="F35" i="20"/>
  <c r="F25" i="14"/>
  <c r="F20" i="14"/>
  <c r="F26" i="14"/>
  <c r="F24" i="14"/>
  <c r="V38" i="9"/>
  <c r="W38" i="9" s="1"/>
  <c r="V28" i="9"/>
  <c r="W28" i="9" s="1"/>
  <c r="V16" i="9"/>
  <c r="W16" i="9" s="1"/>
  <c r="V10" i="9"/>
  <c r="W10" i="9" s="1"/>
  <c r="V21" i="9"/>
  <c r="W21" i="9" s="1"/>
  <c r="V37" i="9"/>
  <c r="W37" i="9" s="1"/>
  <c r="V40" i="9"/>
  <c r="W40" i="9" s="1"/>
  <c r="V36" i="9"/>
  <c r="W36" i="9" s="1"/>
  <c r="V41" i="9"/>
  <c r="W41" i="9" s="1"/>
  <c r="V24" i="9"/>
  <c r="W24" i="9" s="1"/>
  <c r="V22" i="9"/>
  <c r="W22" i="9" s="1"/>
  <c r="V31" i="9"/>
  <c r="W31" i="9" s="1"/>
  <c r="V14" i="9"/>
  <c r="W14" i="9" s="1"/>
  <c r="V19" i="9"/>
  <c r="W19" i="9" s="1"/>
  <c r="V12" i="9"/>
  <c r="W12" i="9" s="1"/>
  <c r="V9" i="9"/>
  <c r="W9" i="9" s="1"/>
  <c r="V11" i="9"/>
  <c r="W11" i="9" s="1"/>
  <c r="V20" i="9"/>
  <c r="W20" i="9" s="1"/>
  <c r="V15" i="9"/>
  <c r="W15" i="9" s="1"/>
  <c r="V25" i="9"/>
  <c r="W25" i="9" s="1"/>
  <c r="V33" i="9"/>
  <c r="W33" i="9" s="1"/>
  <c r="V13" i="9"/>
  <c r="W13" i="9" s="1"/>
  <c r="V27" i="9"/>
  <c r="W27" i="9" s="1"/>
  <c r="V23" i="9"/>
  <c r="W23" i="9" s="1"/>
  <c r="V7" i="9"/>
  <c r="V29" i="9"/>
  <c r="W29" i="9" s="1"/>
  <c r="V17" i="9"/>
  <c r="W17" i="9" s="1"/>
  <c r="V35" i="9"/>
  <c r="W35" i="9" s="1"/>
  <c r="V18" i="9"/>
  <c r="W18" i="9" s="1"/>
  <c r="V39" i="9"/>
  <c r="W39" i="9" s="1"/>
  <c r="V32" i="9"/>
  <c r="W32" i="9" s="1"/>
  <c r="V26" i="9"/>
  <c r="W26" i="9" s="1"/>
  <c r="V30" i="9"/>
  <c r="W30" i="9" s="1"/>
  <c r="V34" i="9"/>
  <c r="W34" i="9" s="1"/>
  <c r="G18" i="9"/>
  <c r="H18" i="9" s="1"/>
  <c r="F18" i="16"/>
  <c r="F25" i="20"/>
  <c r="F14" i="18"/>
  <c r="F18" i="18"/>
  <c r="F28" i="18"/>
  <c r="F22" i="20"/>
  <c r="F20" i="20"/>
  <c r="F10" i="18"/>
  <c r="F37" i="18"/>
  <c r="F36" i="18"/>
  <c r="F15" i="20"/>
  <c r="F17" i="18"/>
  <c r="F9" i="20"/>
  <c r="F38" i="18"/>
  <c r="F27" i="18"/>
  <c r="F23" i="18"/>
  <c r="F11" i="18"/>
  <c r="F40" i="20"/>
  <c r="F26" i="20"/>
  <c r="F24" i="20"/>
  <c r="F41" i="20"/>
  <c r="F28" i="20"/>
  <c r="F32" i="20"/>
  <c r="F38" i="20"/>
  <c r="F38" i="15"/>
  <c r="F29" i="20"/>
  <c r="F29" i="15"/>
  <c r="F28" i="15"/>
  <c r="F27" i="20"/>
  <c r="F13" i="20"/>
  <c r="F40" i="15"/>
  <c r="F15" i="15"/>
  <c r="F10" i="16"/>
  <c r="F9" i="15"/>
  <c r="F24" i="16"/>
  <c r="F22" i="15"/>
  <c r="F36" i="16"/>
  <c r="F40" i="16"/>
  <c r="F23" i="16"/>
  <c r="F31" i="16"/>
  <c r="F7" i="16"/>
  <c r="F37" i="16"/>
  <c r="F12" i="16"/>
  <c r="F38" i="16"/>
  <c r="F32" i="16"/>
  <c r="F22" i="16"/>
  <c r="F25" i="16"/>
  <c r="F27" i="16"/>
  <c r="F34" i="16"/>
  <c r="F11" i="16"/>
  <c r="F15" i="16"/>
  <c r="F16" i="16"/>
  <c r="F28" i="16"/>
  <c r="F13" i="16"/>
  <c r="F30" i="16"/>
  <c r="F19" i="16"/>
  <c r="F39" i="16"/>
  <c r="F17" i="16"/>
  <c r="F33" i="16"/>
  <c r="F14" i="16"/>
  <c r="F35" i="16"/>
  <c r="F21" i="16"/>
  <c r="F41" i="16"/>
  <c r="F20" i="16"/>
  <c r="F26" i="16"/>
  <c r="F29" i="16"/>
  <c r="F39" i="15"/>
  <c r="F24" i="15"/>
  <c r="F37" i="15"/>
  <c r="F30" i="15"/>
  <c r="F27" i="15"/>
  <c r="F16" i="15"/>
  <c r="F12" i="15"/>
  <c r="F7" i="15"/>
  <c r="F18" i="15"/>
  <c r="F34" i="15"/>
  <c r="F17" i="15"/>
  <c r="F19" i="15"/>
  <c r="F21" i="15"/>
  <c r="F17" i="20"/>
  <c r="F31" i="20"/>
  <c r="F18" i="20"/>
  <c r="F30" i="20"/>
  <c r="F39" i="20"/>
  <c r="F23" i="20"/>
  <c r="F16" i="20"/>
  <c r="F14" i="20"/>
  <c r="F12" i="20"/>
  <c r="F36" i="20"/>
  <c r="F19" i="20"/>
  <c r="F10" i="20"/>
  <c r="F34" i="20"/>
  <c r="F11" i="20"/>
  <c r="F37" i="20"/>
  <c r="F21" i="20"/>
  <c r="F33" i="20"/>
  <c r="F26" i="15"/>
  <c r="F33" i="15"/>
  <c r="F32" i="15"/>
  <c r="F25" i="15"/>
  <c r="F11" i="15"/>
  <c r="F31" i="15"/>
  <c r="F14" i="15"/>
  <c r="F23" i="15"/>
  <c r="F20" i="15"/>
  <c r="F41" i="15"/>
  <c r="F35" i="15"/>
  <c r="F10" i="15"/>
  <c r="F36" i="15"/>
  <c r="C4" i="4"/>
  <c r="F22" i="19"/>
  <c r="F34" i="19"/>
  <c r="F10" i="19"/>
  <c r="F31" i="19"/>
  <c r="F19" i="19"/>
  <c r="F26" i="19"/>
  <c r="F12" i="19"/>
  <c r="F16" i="19"/>
  <c r="F41" i="19"/>
  <c r="F37" i="19"/>
  <c r="F17" i="19"/>
  <c r="F28" i="19"/>
  <c r="F40" i="19"/>
  <c r="F9" i="19"/>
  <c r="F30" i="19"/>
  <c r="F29" i="19"/>
  <c r="F7" i="19"/>
  <c r="F11" i="19"/>
  <c r="F33" i="19"/>
  <c r="F38" i="19"/>
  <c r="F36" i="19"/>
  <c r="F35" i="19"/>
  <c r="F14" i="19"/>
  <c r="F23" i="19"/>
  <c r="F21" i="19"/>
  <c r="F13" i="19"/>
  <c r="F20" i="19"/>
  <c r="F15" i="19"/>
  <c r="F24" i="19"/>
  <c r="F39" i="19"/>
  <c r="F32" i="19"/>
  <c r="F18" i="19"/>
  <c r="C4" i="15"/>
  <c r="C4" i="18"/>
  <c r="C4" i="20"/>
  <c r="C4" i="19"/>
  <c r="C4" i="17"/>
  <c r="C4" i="16"/>
  <c r="C4" i="14"/>
  <c r="G8" i="14" s="1"/>
  <c r="G8" i="19" l="1"/>
  <c r="I11" i="1" s="1"/>
  <c r="G8" i="18"/>
  <c r="H8" i="18" s="1"/>
  <c r="G8" i="20"/>
  <c r="G8" i="17"/>
  <c r="H8" i="17" s="1"/>
  <c r="G8" i="16"/>
  <c r="G11" i="1" s="1"/>
  <c r="G13" i="15"/>
  <c r="F34" i="1" s="1"/>
  <c r="G8" i="15"/>
  <c r="H8" i="14"/>
  <c r="E11" i="1"/>
  <c r="G12" i="18"/>
  <c r="H8" i="20"/>
  <c r="J11" i="1"/>
  <c r="H8" i="19"/>
  <c r="G11" i="17"/>
  <c r="H28" i="1" s="1"/>
  <c r="I42" i="8"/>
  <c r="X12" i="9"/>
  <c r="Y12" i="9" s="1"/>
  <c r="F42" i="14"/>
  <c r="X33" i="9"/>
  <c r="M36" i="1" s="1"/>
  <c r="X14" i="9"/>
  <c r="M17" i="1" s="1"/>
  <c r="G37" i="14"/>
  <c r="E29" i="1" s="1"/>
  <c r="X18" i="9"/>
  <c r="Y18" i="9" s="1"/>
  <c r="F42" i="17"/>
  <c r="X34" i="9"/>
  <c r="M37" i="1" s="1"/>
  <c r="X31" i="9"/>
  <c r="Y31" i="9" s="1"/>
  <c r="X41" i="9"/>
  <c r="Y41" i="9" s="1"/>
  <c r="X10" i="9"/>
  <c r="Y10" i="9" s="1"/>
  <c r="F42" i="18"/>
  <c r="X21" i="9"/>
  <c r="Y21" i="9" s="1"/>
  <c r="X20" i="9"/>
  <c r="H7" i="9"/>
  <c r="G42" i="9"/>
  <c r="X11" i="9"/>
  <c r="X40" i="9"/>
  <c r="X39" i="9"/>
  <c r="X36" i="9"/>
  <c r="X28" i="9"/>
  <c r="X35" i="9"/>
  <c r="X27" i="9"/>
  <c r="X25" i="9"/>
  <c r="X15" i="9"/>
  <c r="X22" i="9"/>
  <c r="X17" i="9"/>
  <c r="X16" i="9"/>
  <c r="G27" i="16"/>
  <c r="H27" i="16" s="1"/>
  <c r="V42" i="9"/>
  <c r="W7" i="9"/>
  <c r="W42" i="9" s="1"/>
  <c r="R7" i="9"/>
  <c r="R42" i="9" s="1"/>
  <c r="Q42" i="9"/>
  <c r="X30" i="9"/>
  <c r="X13" i="9"/>
  <c r="X23" i="9"/>
  <c r="X38" i="9"/>
  <c r="X19" i="9"/>
  <c r="X37" i="9"/>
  <c r="X24" i="9"/>
  <c r="M7" i="9"/>
  <c r="M42" i="9" s="1"/>
  <c r="L42" i="9"/>
  <c r="X29" i="9"/>
  <c r="X32" i="9"/>
  <c r="X26" i="9"/>
  <c r="X9" i="9"/>
  <c r="G42" i="8"/>
  <c r="J7" i="8" s="1"/>
  <c r="K7" i="8" s="1"/>
  <c r="L10" i="1" s="1"/>
  <c r="G32" i="20"/>
  <c r="J30" i="1" s="1"/>
  <c r="F42" i="16"/>
  <c r="F42" i="20"/>
  <c r="F42" i="15"/>
  <c r="F45" i="21"/>
  <c r="G11" i="18"/>
  <c r="K14" i="1" s="1"/>
  <c r="G34" i="15"/>
  <c r="H34" i="15" s="1"/>
  <c r="G27" i="15"/>
  <c r="F28" i="1" s="1"/>
  <c r="G28" i="15"/>
  <c r="F22" i="1" s="1"/>
  <c r="G21" i="18"/>
  <c r="K37" i="1" s="1"/>
  <c r="G30" i="18"/>
  <c r="K42" i="1" s="1"/>
  <c r="G22" i="14"/>
  <c r="E25" i="1" s="1"/>
  <c r="G35" i="20"/>
  <c r="H35" i="20" s="1"/>
  <c r="G19" i="20"/>
  <c r="J17" i="1" s="1"/>
  <c r="G26" i="14"/>
  <c r="H26" i="14" s="1"/>
  <c r="G36" i="20"/>
  <c r="J15" i="1" s="1"/>
  <c r="G7" i="19"/>
  <c r="H7" i="19" s="1"/>
  <c r="G16" i="15"/>
  <c r="F42" i="1" s="1"/>
  <c r="G41" i="18"/>
  <c r="K16" i="1" s="1"/>
  <c r="G10" i="15"/>
  <c r="F15" i="1" s="1"/>
  <c r="G7" i="15"/>
  <c r="F38" i="1" s="1"/>
  <c r="G28" i="20"/>
  <c r="J39" i="1" s="1"/>
  <c r="G29" i="15"/>
  <c r="H29" i="15" s="1"/>
  <c r="G26" i="15"/>
  <c r="H26" i="15" s="1"/>
  <c r="G30" i="16"/>
  <c r="H30" i="16" s="1"/>
  <c r="G32" i="15"/>
  <c r="F30" i="1" s="1"/>
  <c r="G11" i="15"/>
  <c r="F43" i="1" s="1"/>
  <c r="G31" i="15"/>
  <c r="F27" i="1" s="1"/>
  <c r="G23" i="15"/>
  <c r="H23" i="15" s="1"/>
  <c r="G32" i="14"/>
  <c r="H32" i="14" s="1"/>
  <c r="G9" i="15"/>
  <c r="H9" i="15" s="1"/>
  <c r="G25" i="15"/>
  <c r="F35" i="1" s="1"/>
  <c r="G17" i="19"/>
  <c r="I38" i="1" s="1"/>
  <c r="G36" i="15"/>
  <c r="H36" i="15" s="1"/>
  <c r="G40" i="15"/>
  <c r="F25" i="1" s="1"/>
  <c r="G19" i="15"/>
  <c r="H19" i="15" s="1"/>
  <c r="G26" i="20"/>
  <c r="J27" i="1" s="1"/>
  <c r="G37" i="15"/>
  <c r="H37" i="15" s="1"/>
  <c r="G30" i="15"/>
  <c r="F21" i="1" s="1"/>
  <c r="G35" i="15"/>
  <c r="H35" i="15" s="1"/>
  <c r="G40" i="14"/>
  <c r="H40" i="14" s="1"/>
  <c r="G39" i="14"/>
  <c r="E20" i="1" s="1"/>
  <c r="G41" i="14"/>
  <c r="E19" i="1" s="1"/>
  <c r="G11" i="14"/>
  <c r="H11" i="14" s="1"/>
  <c r="G12" i="14"/>
  <c r="H12" i="14" s="1"/>
  <c r="G30" i="14"/>
  <c r="H30" i="14" s="1"/>
  <c r="G36" i="14"/>
  <c r="E30" i="1" s="1"/>
  <c r="G29" i="14"/>
  <c r="E22" i="1" s="1"/>
  <c r="G7" i="17"/>
  <c r="H42" i="1" s="1"/>
  <c r="G20" i="20"/>
  <c r="J28" i="1" s="1"/>
  <c r="G23" i="14"/>
  <c r="E37" i="1" s="1"/>
  <c r="G15" i="14"/>
  <c r="H15" i="14" s="1"/>
  <c r="G18" i="17"/>
  <c r="H24" i="1" s="1"/>
  <c r="G29" i="20"/>
  <c r="J29" i="1" s="1"/>
  <c r="G18" i="18"/>
  <c r="K29" i="1" s="1"/>
  <c r="G31" i="14"/>
  <c r="H31" i="14" s="1"/>
  <c r="G28" i="14"/>
  <c r="H28" i="14" s="1"/>
  <c r="G18" i="14"/>
  <c r="E40" i="1" s="1"/>
  <c r="G13" i="14"/>
  <c r="E38" i="1" s="1"/>
  <c r="F42" i="19"/>
  <c r="G27" i="14"/>
  <c r="E28" i="1" s="1"/>
  <c r="G21" i="14"/>
  <c r="E23" i="1" s="1"/>
  <c r="G14" i="14"/>
  <c r="E35" i="1" s="1"/>
  <c r="G19" i="14"/>
  <c r="H19" i="14" s="1"/>
  <c r="G30" i="17"/>
  <c r="H27" i="1" s="1"/>
  <c r="G30" i="20"/>
  <c r="H30" i="20" s="1"/>
  <c r="G22" i="18"/>
  <c r="H22" i="18" s="1"/>
  <c r="E16" i="4"/>
  <c r="F16" i="4" s="1"/>
  <c r="E37" i="4"/>
  <c r="F37" i="4" s="1"/>
  <c r="E19" i="4"/>
  <c r="E29" i="4"/>
  <c r="E22" i="4"/>
  <c r="F22" i="4" s="1"/>
  <c r="E20" i="4"/>
  <c r="F20" i="4" s="1"/>
  <c r="E24" i="4"/>
  <c r="F24" i="4" s="1"/>
  <c r="E8" i="4"/>
  <c r="F8" i="4" s="1"/>
  <c r="E32" i="4"/>
  <c r="E14" i="4"/>
  <c r="E30" i="4"/>
  <c r="E9" i="4"/>
  <c r="F9" i="4" s="1"/>
  <c r="E26" i="4"/>
  <c r="E40" i="4"/>
  <c r="E27" i="4"/>
  <c r="F27" i="4" s="1"/>
  <c r="E23" i="4"/>
  <c r="E17" i="4"/>
  <c r="E13" i="4"/>
  <c r="E39" i="4"/>
  <c r="F39" i="4" s="1"/>
  <c r="E10" i="4"/>
  <c r="E31" i="4"/>
  <c r="E28" i="4"/>
  <c r="E38" i="4"/>
  <c r="E25" i="4"/>
  <c r="F25" i="4" s="1"/>
  <c r="E21" i="4"/>
  <c r="F21" i="4" s="1"/>
  <c r="E11" i="4"/>
  <c r="E33" i="4"/>
  <c r="E12" i="4"/>
  <c r="F12" i="4" s="1"/>
  <c r="E34" i="4"/>
  <c r="F34" i="4" s="1"/>
  <c r="E18" i="4"/>
  <c r="E7" i="4"/>
  <c r="E36" i="4"/>
  <c r="E35" i="4"/>
  <c r="E15" i="4"/>
  <c r="G33" i="20"/>
  <c r="J18" i="1" s="1"/>
  <c r="G41" i="19"/>
  <c r="I10" i="1" s="1"/>
  <c r="G25" i="20"/>
  <c r="H25" i="20" s="1"/>
  <c r="G39" i="20"/>
  <c r="J21" i="1" s="1"/>
  <c r="G13" i="20"/>
  <c r="H13" i="20" s="1"/>
  <c r="G24" i="20"/>
  <c r="H24" i="20" s="1"/>
  <c r="G20" i="18"/>
  <c r="K38" i="1" s="1"/>
  <c r="G14" i="20"/>
  <c r="G21" i="20"/>
  <c r="H21" i="20" s="1"/>
  <c r="G15" i="20"/>
  <c r="J41" i="1" s="1"/>
  <c r="G31" i="20"/>
  <c r="J35" i="1" s="1"/>
  <c r="G33" i="15"/>
  <c r="F29" i="1" s="1"/>
  <c r="G15" i="15"/>
  <c r="F32" i="1" s="1"/>
  <c r="G38" i="15"/>
  <c r="H38" i="15" s="1"/>
  <c r="G32" i="18"/>
  <c r="K20" i="1" s="1"/>
  <c r="G29" i="18"/>
  <c r="K34" i="1" s="1"/>
  <c r="G10" i="19"/>
  <c r="I40" i="1" s="1"/>
  <c r="G27" i="20"/>
  <c r="H27" i="20" s="1"/>
  <c r="G11" i="20"/>
  <c r="J38" i="1" s="1"/>
  <c r="G38" i="20"/>
  <c r="H38" i="20" s="1"/>
  <c r="G41" i="20"/>
  <c r="H41" i="20" s="1"/>
  <c r="G24" i="18"/>
  <c r="H24" i="18" s="1"/>
  <c r="G18" i="20"/>
  <c r="J44" i="1" s="1"/>
  <c r="G37" i="20"/>
  <c r="H37" i="20" s="1"/>
  <c r="G16" i="20"/>
  <c r="J32" i="1" s="1"/>
  <c r="G22" i="20"/>
  <c r="J19" i="1" s="1"/>
  <c r="G33" i="19"/>
  <c r="I18" i="1" s="1"/>
  <c r="G24" i="15"/>
  <c r="F20" i="1" s="1"/>
  <c r="G22" i="15"/>
  <c r="F39" i="1" s="1"/>
  <c r="G17" i="15"/>
  <c r="F26" i="1" s="1"/>
  <c r="G39" i="15"/>
  <c r="F13" i="1" s="1"/>
  <c r="G10" i="18"/>
  <c r="K12" i="1" s="1"/>
  <c r="G13" i="18"/>
  <c r="K36" i="1" s="1"/>
  <c r="G23" i="20"/>
  <c r="J37" i="1" s="1"/>
  <c r="G17" i="20"/>
  <c r="J43" i="1" s="1"/>
  <c r="G9" i="20"/>
  <c r="H9" i="20" s="1"/>
  <c r="G40" i="20"/>
  <c r="H40" i="20" s="1"/>
  <c r="G34" i="20"/>
  <c r="H34" i="20" s="1"/>
  <c r="G35" i="19"/>
  <c r="H35" i="19" s="1"/>
  <c r="G36" i="18"/>
  <c r="K25" i="1" s="1"/>
  <c r="G28" i="18"/>
  <c r="H28" i="18" s="1"/>
  <c r="G12" i="20"/>
  <c r="J23" i="1" s="1"/>
  <c r="G7" i="20"/>
  <c r="H7" i="20" s="1"/>
  <c r="G10" i="20"/>
  <c r="H10" i="20" s="1"/>
  <c r="G21" i="19"/>
  <c r="H21" i="19" s="1"/>
  <c r="G41" i="15"/>
  <c r="F10" i="1" s="1"/>
  <c r="G20" i="15"/>
  <c r="F44" i="1" s="1"/>
  <c r="G18" i="15"/>
  <c r="F24" i="1" s="1"/>
  <c r="G12" i="15"/>
  <c r="H12" i="15" s="1"/>
  <c r="G38" i="18"/>
  <c r="H38" i="18" s="1"/>
  <c r="G23" i="18"/>
  <c r="K15" i="1" s="1"/>
  <c r="G17" i="16"/>
  <c r="G33" i="1" s="1"/>
  <c r="G38" i="16"/>
  <c r="G21" i="1" s="1"/>
  <c r="G25" i="17"/>
  <c r="H14" i="1" s="1"/>
  <c r="G28" i="16"/>
  <c r="G39" i="1" s="1"/>
  <c r="G39" i="19"/>
  <c r="H39" i="19" s="1"/>
  <c r="G21" i="17"/>
  <c r="H21" i="17" s="1"/>
  <c r="G36" i="19"/>
  <c r="H36" i="19" s="1"/>
  <c r="G14" i="15"/>
  <c r="G41" i="17"/>
  <c r="H41" i="17" s="1"/>
  <c r="G39" i="17"/>
  <c r="H15" i="1" s="1"/>
  <c r="G19" i="19"/>
  <c r="I37" i="1" s="1"/>
  <c r="G29" i="17"/>
  <c r="H31" i="1" s="1"/>
  <c r="G24" i="19"/>
  <c r="H24" i="19" s="1"/>
  <c r="G21" i="15"/>
  <c r="H21" i="15" s="1"/>
  <c r="G9" i="16"/>
  <c r="H9" i="16" s="1"/>
  <c r="G37" i="17"/>
  <c r="H10" i="1" s="1"/>
  <c r="G23" i="17"/>
  <c r="H23" i="17" s="1"/>
  <c r="G26" i="17"/>
  <c r="H36" i="1" s="1"/>
  <c r="G16" i="17"/>
  <c r="H16" i="17" s="1"/>
  <c r="G19" i="17"/>
  <c r="H16" i="1" s="1"/>
  <c r="G34" i="16"/>
  <c r="G44" i="1" s="1"/>
  <c r="G12" i="16"/>
  <c r="H12" i="16" s="1"/>
  <c r="G7" i="16"/>
  <c r="G35" i="16"/>
  <c r="G43" i="1" s="1"/>
  <c r="G33" i="17"/>
  <c r="H33" i="17" s="1"/>
  <c r="G17" i="17"/>
  <c r="H17" i="17" s="1"/>
  <c r="G10" i="17"/>
  <c r="H38" i="1" s="1"/>
  <c r="G24" i="17"/>
  <c r="H13" i="1" s="1"/>
  <c r="G40" i="17"/>
  <c r="H33" i="1" s="1"/>
  <c r="G31" i="16"/>
  <c r="G32" i="1" s="1"/>
  <c r="G21" i="16"/>
  <c r="H21" i="16" s="1"/>
  <c r="G26" i="16"/>
  <c r="G41" i="1" s="1"/>
  <c r="G13" i="16"/>
  <c r="G28" i="1" s="1"/>
  <c r="G32" i="19"/>
  <c r="I16" i="1" s="1"/>
  <c r="G26" i="19"/>
  <c r="H26" i="19" s="1"/>
  <c r="G34" i="19"/>
  <c r="H34" i="19" s="1"/>
  <c r="G31" i="18"/>
  <c r="K32" i="1" s="1"/>
  <c r="G35" i="18"/>
  <c r="H35" i="18" s="1"/>
  <c r="G9" i="18"/>
  <c r="K18" i="1" s="1"/>
  <c r="G14" i="18"/>
  <c r="K19" i="1" s="1"/>
  <c r="G23" i="16"/>
  <c r="H23" i="16" s="1"/>
  <c r="G41" i="16"/>
  <c r="H41" i="16" s="1"/>
  <c r="G13" i="17"/>
  <c r="H21" i="1" s="1"/>
  <c r="G32" i="17"/>
  <c r="H32" i="17" s="1"/>
  <c r="G19" i="16"/>
  <c r="G13" i="1" s="1"/>
  <c r="G18" i="16"/>
  <c r="H18" i="16" s="1"/>
  <c r="G27" i="17"/>
  <c r="H39" i="1" s="1"/>
  <c r="G28" i="17"/>
  <c r="H40" i="1" s="1"/>
  <c r="G14" i="17"/>
  <c r="H35" i="1" s="1"/>
  <c r="G36" i="17"/>
  <c r="H36" i="17" s="1"/>
  <c r="G10" i="16"/>
  <c r="G14" i="1" s="1"/>
  <c r="G32" i="16"/>
  <c r="H32" i="16" s="1"/>
  <c r="G36" i="16"/>
  <c r="G31" i="1" s="1"/>
  <c r="G33" i="16"/>
  <c r="H33" i="16" s="1"/>
  <c r="G40" i="16"/>
  <c r="G16" i="1" s="1"/>
  <c r="G31" i="19"/>
  <c r="I33" i="1" s="1"/>
  <c r="G23" i="19"/>
  <c r="I19" i="1" s="1"/>
  <c r="G15" i="19"/>
  <c r="I39" i="1" s="1"/>
  <c r="G19" i="18"/>
  <c r="K13" i="1" s="1"/>
  <c r="G16" i="18"/>
  <c r="K28" i="1" s="1"/>
  <c r="G37" i="18"/>
  <c r="H37" i="18" s="1"/>
  <c r="G15" i="18"/>
  <c r="K33" i="1" s="1"/>
  <c r="G9" i="17"/>
  <c r="H43" i="1" s="1"/>
  <c r="G34" i="17"/>
  <c r="H20" i="1" s="1"/>
  <c r="G20" i="17"/>
  <c r="H22" i="1" s="1"/>
  <c r="G35" i="17"/>
  <c r="H35" i="17" s="1"/>
  <c r="G29" i="16"/>
  <c r="H29" i="16" s="1"/>
  <c r="G11" i="16"/>
  <c r="G17" i="1" s="1"/>
  <c r="G22" i="16"/>
  <c r="H22" i="16" s="1"/>
  <c r="G37" i="16"/>
  <c r="G40" i="1" s="1"/>
  <c r="G22" i="19"/>
  <c r="I29" i="1" s="1"/>
  <c r="G20" i="19"/>
  <c r="H20" i="19" s="1"/>
  <c r="G29" i="19"/>
  <c r="H29" i="19" s="1"/>
  <c r="G7" i="18"/>
  <c r="G17" i="18"/>
  <c r="K23" i="1" s="1"/>
  <c r="G27" i="18"/>
  <c r="K27" i="1" s="1"/>
  <c r="G25" i="18"/>
  <c r="H25" i="18" s="1"/>
  <c r="G34" i="18"/>
  <c r="K24" i="1" s="1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4" i="16"/>
  <c r="H24" i="16" s="1"/>
  <c r="G22" i="17"/>
  <c r="H19" i="1" s="1"/>
  <c r="G38" i="17"/>
  <c r="H23" i="1" s="1"/>
  <c r="G20" i="16"/>
  <c r="G26" i="1" s="1"/>
  <c r="G14" i="16"/>
  <c r="G36" i="1" s="1"/>
  <c r="G25" i="16"/>
  <c r="G42" i="1" s="1"/>
  <c r="G31" i="17"/>
  <c r="H31" i="17" s="1"/>
  <c r="G15" i="17"/>
  <c r="H44" i="1" s="1"/>
  <c r="G12" i="17"/>
  <c r="H32" i="1" s="1"/>
  <c r="G39" i="16"/>
  <c r="H39" i="16" s="1"/>
  <c r="G15" i="16"/>
  <c r="G18" i="1" s="1"/>
  <c r="G16" i="16"/>
  <c r="G38" i="1" s="1"/>
  <c r="G16" i="19"/>
  <c r="I35" i="1" s="1"/>
  <c r="G18" i="19"/>
  <c r="I31" i="1" s="1"/>
  <c r="G14" i="19"/>
  <c r="I32" i="1" s="1"/>
  <c r="G33" i="18"/>
  <c r="H33" i="18" s="1"/>
  <c r="G39" i="18"/>
  <c r="K40" i="1" s="1"/>
  <c r="G40" i="18"/>
  <c r="H40" i="18" s="1"/>
  <c r="G26" i="18"/>
  <c r="K30" i="1" s="1"/>
  <c r="G16" i="14"/>
  <c r="E16" i="1" s="1"/>
  <c r="G35" i="14"/>
  <c r="H35" i="14" s="1"/>
  <c r="G24" i="14"/>
  <c r="H24" i="14" s="1"/>
  <c r="G38" i="14"/>
  <c r="E27" i="1" s="1"/>
  <c r="G28" i="19"/>
  <c r="H28" i="19" s="1"/>
  <c r="G30" i="19"/>
  <c r="I13" i="1" s="1"/>
  <c r="G25" i="19"/>
  <c r="H25" i="19" s="1"/>
  <c r="G40" i="19"/>
  <c r="H40" i="19" s="1"/>
  <c r="G25" i="14"/>
  <c r="H25" i="14" s="1"/>
  <c r="G34" i="14"/>
  <c r="H34" i="14" s="1"/>
  <c r="G10" i="14"/>
  <c r="H10" i="14" s="1"/>
  <c r="G20" i="14"/>
  <c r="E41" i="1" s="1"/>
  <c r="G27" i="19"/>
  <c r="I24" i="1" s="1"/>
  <c r="G13" i="19"/>
  <c r="H13" i="19" s="1"/>
  <c r="G38" i="19"/>
  <c r="I22" i="1" s="1"/>
  <c r="G37" i="19"/>
  <c r="I15" i="1" s="1"/>
  <c r="G9" i="14"/>
  <c r="E43" i="1" s="1"/>
  <c r="H7" i="14"/>
  <c r="G17" i="14"/>
  <c r="G33" i="14"/>
  <c r="E26" i="1" s="1"/>
  <c r="G12" i="19"/>
  <c r="H12" i="19" s="1"/>
  <c r="G9" i="19"/>
  <c r="H9" i="19" s="1"/>
  <c r="G11" i="19"/>
  <c r="I41" i="1" s="1"/>
  <c r="K17" i="1"/>
  <c r="H12" i="18"/>
  <c r="H11" i="1" l="1"/>
  <c r="H11" i="17"/>
  <c r="H8" i="16"/>
  <c r="H13" i="15"/>
  <c r="K11" i="1"/>
  <c r="H8" i="15"/>
  <c r="F11" i="1"/>
  <c r="H7" i="18"/>
  <c r="K10" i="1"/>
  <c r="H14" i="20"/>
  <c r="J10" i="1"/>
  <c r="H7" i="16"/>
  <c r="G10" i="1"/>
  <c r="H17" i="14"/>
  <c r="E10" i="1"/>
  <c r="D45" i="1"/>
  <c r="M21" i="1"/>
  <c r="H37" i="14"/>
  <c r="M24" i="1"/>
  <c r="M13" i="1"/>
  <c r="M15" i="1"/>
  <c r="G27" i="1"/>
  <c r="Y33" i="9"/>
  <c r="Y34" i="9"/>
  <c r="Y14" i="9"/>
  <c r="M34" i="1"/>
  <c r="H32" i="20"/>
  <c r="M44" i="1"/>
  <c r="Y27" i="9"/>
  <c r="M30" i="1"/>
  <c r="M23" i="1"/>
  <c r="Y20" i="9"/>
  <c r="Y19" i="9"/>
  <c r="M22" i="1"/>
  <c r="Y28" i="9"/>
  <c r="M32" i="1"/>
  <c r="M41" i="1"/>
  <c r="Y38" i="9"/>
  <c r="Y16" i="9"/>
  <c r="M20" i="1"/>
  <c r="Y9" i="9"/>
  <c r="M12" i="1"/>
  <c r="Y24" i="9"/>
  <c r="M27" i="1"/>
  <c r="Y23" i="9"/>
  <c r="M26" i="1"/>
  <c r="Y17" i="9"/>
  <c r="M19" i="1"/>
  <c r="Y39" i="9"/>
  <c r="M42" i="1"/>
  <c r="M29" i="1"/>
  <c r="Y26" i="9"/>
  <c r="M16" i="1"/>
  <c r="Y13" i="9"/>
  <c r="M25" i="1"/>
  <c r="Y22" i="9"/>
  <c r="M43" i="1"/>
  <c r="Y40" i="9"/>
  <c r="X7" i="9"/>
  <c r="M10" i="1" s="1"/>
  <c r="H42" i="9"/>
  <c r="J40" i="8"/>
  <c r="K40" i="8" s="1"/>
  <c r="J16" i="8"/>
  <c r="K16" i="8" s="1"/>
  <c r="J24" i="8"/>
  <c r="K24" i="8" s="1"/>
  <c r="J39" i="8"/>
  <c r="K39" i="8" s="1"/>
  <c r="J27" i="8"/>
  <c r="K27" i="8" s="1"/>
  <c r="J20" i="8"/>
  <c r="K20" i="8" s="1"/>
  <c r="J8" i="8"/>
  <c r="K8" i="8" s="1"/>
  <c r="J17" i="8"/>
  <c r="K17" i="8" s="1"/>
  <c r="J10" i="8"/>
  <c r="K10" i="8" s="1"/>
  <c r="J29" i="8"/>
  <c r="K29" i="8" s="1"/>
  <c r="J35" i="8"/>
  <c r="K35" i="8" s="1"/>
  <c r="J41" i="8"/>
  <c r="K41" i="8" s="1"/>
  <c r="J28" i="8"/>
  <c r="K28" i="8" s="1"/>
  <c r="J36" i="8"/>
  <c r="K36" i="8" s="1"/>
  <c r="J33" i="8"/>
  <c r="K33" i="8" s="1"/>
  <c r="J26" i="8"/>
  <c r="K26" i="8" s="1"/>
  <c r="J21" i="8"/>
  <c r="K21" i="8" s="1"/>
  <c r="J25" i="8"/>
  <c r="K25" i="8" s="1"/>
  <c r="J18" i="8"/>
  <c r="K18" i="8" s="1"/>
  <c r="J12" i="8"/>
  <c r="K12" i="8" s="1"/>
  <c r="J13" i="8"/>
  <c r="K13" i="8" s="1"/>
  <c r="J38" i="8"/>
  <c r="K38" i="8" s="1"/>
  <c r="J14" i="8"/>
  <c r="K14" i="8" s="1"/>
  <c r="J31" i="8"/>
  <c r="K31" i="8" s="1"/>
  <c r="J15" i="8"/>
  <c r="K15" i="8" s="1"/>
  <c r="J34" i="8"/>
  <c r="K34" i="8" s="1"/>
  <c r="J22" i="8"/>
  <c r="K22" i="8" s="1"/>
  <c r="J32" i="8"/>
  <c r="K32" i="8" s="1"/>
  <c r="J11" i="8"/>
  <c r="K11" i="8" s="1"/>
  <c r="J37" i="8"/>
  <c r="K37" i="8" s="1"/>
  <c r="J19" i="8"/>
  <c r="K19" i="8" s="1"/>
  <c r="J23" i="8"/>
  <c r="K23" i="8" s="1"/>
  <c r="J30" i="8"/>
  <c r="K30" i="8" s="1"/>
  <c r="Y32" i="9"/>
  <c r="M35" i="1"/>
  <c r="M33" i="1"/>
  <c r="Y30" i="9"/>
  <c r="Y15" i="9"/>
  <c r="M18" i="1"/>
  <c r="Y11" i="9"/>
  <c r="M14" i="1"/>
  <c r="M38" i="1"/>
  <c r="Y35" i="9"/>
  <c r="M39" i="1"/>
  <c r="Y36" i="9"/>
  <c r="M31" i="1"/>
  <c r="Y29" i="9"/>
  <c r="Y37" i="9"/>
  <c r="M40" i="1"/>
  <c r="Y25" i="9"/>
  <c r="M28" i="1"/>
  <c r="H21" i="18"/>
  <c r="H28" i="15"/>
  <c r="H27" i="15"/>
  <c r="H11" i="18"/>
  <c r="E41" i="4"/>
  <c r="F41" i="4" s="1"/>
  <c r="F31" i="1"/>
  <c r="H30" i="18"/>
  <c r="H41" i="14"/>
  <c r="J40" i="1"/>
  <c r="H18" i="14"/>
  <c r="I25" i="1"/>
  <c r="H7" i="15"/>
  <c r="H17" i="1"/>
  <c r="H19" i="20"/>
  <c r="K39" i="1"/>
  <c r="H10" i="19"/>
  <c r="F18" i="1"/>
  <c r="H7" i="17"/>
  <c r="E18" i="1"/>
  <c r="H16" i="19"/>
  <c r="H27" i="14"/>
  <c r="E17" i="1"/>
  <c r="F40" i="1"/>
  <c r="H29" i="20"/>
  <c r="H16" i="15"/>
  <c r="H36" i="20"/>
  <c r="H20" i="16"/>
  <c r="I44" i="1"/>
  <c r="H22" i="14"/>
  <c r="G35" i="1"/>
  <c r="H30" i="15"/>
  <c r="F17" i="1"/>
  <c r="H28" i="20"/>
  <c r="F14" i="1"/>
  <c r="H11" i="19"/>
  <c r="H16" i="20"/>
  <c r="F37" i="1"/>
  <c r="H18" i="15"/>
  <c r="H10" i="15"/>
  <c r="G42" i="18"/>
  <c r="H42" i="18" s="1"/>
  <c r="H29" i="18"/>
  <c r="E44" i="1"/>
  <c r="H12" i="20"/>
  <c r="H10" i="16"/>
  <c r="F36" i="1"/>
  <c r="J22" i="1"/>
  <c r="H25" i="15"/>
  <c r="H18" i="1"/>
  <c r="G22" i="1"/>
  <c r="H23" i="14"/>
  <c r="H18" i="19"/>
  <c r="G15" i="1"/>
  <c r="F28" i="4"/>
  <c r="H41" i="18"/>
  <c r="E13" i="1"/>
  <c r="J31" i="1"/>
  <c r="H12" i="17"/>
  <c r="F40" i="4"/>
  <c r="I17" i="1"/>
  <c r="F12" i="1"/>
  <c r="H30" i="19"/>
  <c r="F33" i="1"/>
  <c r="H15" i="20"/>
  <c r="H25" i="1"/>
  <c r="H14" i="17"/>
  <c r="I43" i="1"/>
  <c r="H20" i="14"/>
  <c r="H38" i="14"/>
  <c r="H39" i="20"/>
  <c r="H23" i="19"/>
  <c r="H16" i="18"/>
  <c r="H16" i="14"/>
  <c r="H19" i="18"/>
  <c r="H32" i="19"/>
  <c r="H29" i="17"/>
  <c r="H20" i="15"/>
  <c r="H32" i="15"/>
  <c r="H9" i="14"/>
  <c r="H20" i="17"/>
  <c r="K21" i="1"/>
  <c r="J25" i="1"/>
  <c r="H31" i="15"/>
  <c r="G30" i="1"/>
  <c r="H18" i="18"/>
  <c r="H28" i="16"/>
  <c r="F41" i="1"/>
  <c r="H11" i="15"/>
  <c r="K22" i="1"/>
  <c r="H38" i="16"/>
  <c r="H29" i="1"/>
  <c r="F19" i="1"/>
  <c r="E39" i="1"/>
  <c r="H39" i="18"/>
  <c r="J42" i="1"/>
  <c r="H17" i="19"/>
  <c r="J26" i="1"/>
  <c r="H13" i="14"/>
  <c r="H24" i="15"/>
  <c r="H36" i="14"/>
  <c r="E24" i="1"/>
  <c r="H19" i="17"/>
  <c r="H14" i="14"/>
  <c r="H40" i="15"/>
  <c r="H17" i="16"/>
  <c r="H24" i="17"/>
  <c r="I28" i="1"/>
  <c r="H31" i="20"/>
  <c r="J16" i="1"/>
  <c r="F15" i="4"/>
  <c r="H36" i="18"/>
  <c r="H41" i="1"/>
  <c r="J20" i="1"/>
  <c r="H18" i="17"/>
  <c r="I21" i="1"/>
  <c r="H20" i="18"/>
  <c r="H38" i="17"/>
  <c r="E14" i="1"/>
  <c r="H18" i="20"/>
  <c r="E12" i="1"/>
  <c r="J36" i="1"/>
  <c r="F18" i="4"/>
  <c r="H32" i="18"/>
  <c r="F35" i="4"/>
  <c r="F17" i="4"/>
  <c r="F32" i="4"/>
  <c r="K41" i="1"/>
  <c r="I34" i="1"/>
  <c r="J12" i="1"/>
  <c r="H13" i="16"/>
  <c r="H34" i="16"/>
  <c r="H39" i="15"/>
  <c r="H17" i="15"/>
  <c r="G42" i="15"/>
  <c r="H42" i="15" s="1"/>
  <c r="E42" i="1"/>
  <c r="F13" i="4"/>
  <c r="H16" i="16"/>
  <c r="H26" i="20"/>
  <c r="E33" i="1"/>
  <c r="H19" i="16"/>
  <c r="F29" i="4"/>
  <c r="H27" i="18"/>
  <c r="I26" i="1"/>
  <c r="H37" i="1"/>
  <c r="H10" i="18"/>
  <c r="H15" i="15"/>
  <c r="E15" i="1"/>
  <c r="H21" i="14"/>
  <c r="F33" i="4"/>
  <c r="J33" i="1"/>
  <c r="F30" i="4"/>
  <c r="H33" i="15"/>
  <c r="H22" i="17"/>
  <c r="E32" i="1"/>
  <c r="K26" i="1"/>
  <c r="H22" i="20"/>
  <c r="H26" i="17"/>
  <c r="H39" i="17"/>
  <c r="H39" i="14"/>
  <c r="H13" i="18"/>
  <c r="H41" i="19"/>
  <c r="H30" i="17"/>
  <c r="H33" i="20"/>
  <c r="G25" i="1"/>
  <c r="F10" i="4"/>
  <c r="I14" i="1"/>
  <c r="H20" i="20"/>
  <c r="H29" i="14"/>
  <c r="H30" i="1"/>
  <c r="H23" i="18"/>
  <c r="K44" i="1"/>
  <c r="K31" i="1"/>
  <c r="G42" i="20"/>
  <c r="H42" i="20" s="1"/>
  <c r="I27" i="1"/>
  <c r="H15" i="19"/>
  <c r="G20" i="1"/>
  <c r="H11" i="20"/>
  <c r="H26" i="1"/>
  <c r="H23" i="20"/>
  <c r="H22" i="15"/>
  <c r="F19" i="4"/>
  <c r="F11" i="4"/>
  <c r="F14" i="4"/>
  <c r="F7" i="4"/>
  <c r="F36" i="4"/>
  <c r="F23" i="4"/>
  <c r="F38" i="4"/>
  <c r="F31" i="4"/>
  <c r="J34" i="1"/>
  <c r="H26" i="18"/>
  <c r="H17" i="18"/>
  <c r="H19" i="19"/>
  <c r="H41" i="15"/>
  <c r="H25" i="17"/>
  <c r="H17" i="20"/>
  <c r="H33" i="19"/>
  <c r="G34" i="1"/>
  <c r="F26" i="4"/>
  <c r="K43" i="1"/>
  <c r="G42" i="16"/>
  <c r="H42" i="16" s="1"/>
  <c r="H33" i="14"/>
  <c r="J24" i="1"/>
  <c r="I36" i="1"/>
  <c r="J14" i="1"/>
  <c r="J13" i="1"/>
  <c r="F16" i="1"/>
  <c r="H31" i="18"/>
  <c r="I23" i="1"/>
  <c r="H9" i="17"/>
  <c r="H9" i="18"/>
  <c r="H40" i="16"/>
  <c r="H13" i="17"/>
  <c r="K35" i="1"/>
  <c r="G37" i="1"/>
  <c r="H12" i="1"/>
  <c r="I20" i="1"/>
  <c r="H15" i="16"/>
  <c r="H15" i="17"/>
  <c r="H14" i="15"/>
  <c r="H37" i="16"/>
  <c r="G42" i="17"/>
  <c r="H42" i="17" s="1"/>
  <c r="H26" i="16"/>
  <c r="H25" i="16"/>
  <c r="H34" i="18"/>
  <c r="H34" i="1"/>
  <c r="F23" i="1"/>
  <c r="H14" i="19"/>
  <c r="H10" i="17"/>
  <c r="H22" i="19"/>
  <c r="G12" i="1"/>
  <c r="H28" i="17"/>
  <c r="H27" i="17"/>
  <c r="G23" i="1"/>
  <c r="G19" i="1"/>
  <c r="H35" i="16"/>
  <c r="H37" i="17"/>
  <c r="G24" i="1"/>
  <c r="H31" i="16"/>
  <c r="E34" i="1"/>
  <c r="I30" i="1"/>
  <c r="G29" i="1"/>
  <c r="H36" i="16"/>
  <c r="E21" i="1"/>
  <c r="H14" i="16"/>
  <c r="E31" i="1"/>
  <c r="H40" i="17"/>
  <c r="H15" i="18"/>
  <c r="H31" i="19"/>
  <c r="G42" i="14"/>
  <c r="H42" i="14" s="1"/>
  <c r="H11" i="16"/>
  <c r="H34" i="17"/>
  <c r="H14" i="18"/>
  <c r="F7" i="21"/>
  <c r="E43" i="21"/>
  <c r="E44" i="21" s="1"/>
  <c r="H27" i="19"/>
  <c r="H37" i="19"/>
  <c r="H38" i="19"/>
  <c r="E36" i="1"/>
  <c r="G42" i="19"/>
  <c r="H42" i="19" s="1"/>
  <c r="I42" i="1"/>
  <c r="I12" i="1"/>
  <c r="N11" i="1" l="1"/>
  <c r="Q11" i="1" s="1"/>
  <c r="K45" i="1"/>
  <c r="L14" i="8"/>
  <c r="L17" i="1"/>
  <c r="N17" i="1" s="1"/>
  <c r="L20" i="1"/>
  <c r="N20" i="1" s="1"/>
  <c r="L17" i="8"/>
  <c r="L37" i="8"/>
  <c r="L40" i="1"/>
  <c r="N40" i="1" s="1"/>
  <c r="L36" i="8"/>
  <c r="L39" i="1"/>
  <c r="N39" i="1" s="1"/>
  <c r="L11" i="8"/>
  <c r="L14" i="1"/>
  <c r="N14" i="1" s="1"/>
  <c r="L28" i="8"/>
  <c r="L31" i="1"/>
  <c r="N31" i="1" s="1"/>
  <c r="L32" i="8"/>
  <c r="L35" i="1"/>
  <c r="N35" i="1" s="1"/>
  <c r="L25" i="1"/>
  <c r="N25" i="1" s="1"/>
  <c r="L22" i="8"/>
  <c r="L21" i="1"/>
  <c r="N21" i="1" s="1"/>
  <c r="L18" i="8"/>
  <c r="L41" i="8"/>
  <c r="L44" i="1"/>
  <c r="N44" i="1" s="1"/>
  <c r="L42" i="1"/>
  <c r="N42" i="1" s="1"/>
  <c r="L39" i="8"/>
  <c r="L37" i="1"/>
  <c r="N37" i="1" s="1"/>
  <c r="L34" i="8"/>
  <c r="L25" i="8"/>
  <c r="L28" i="1"/>
  <c r="N28" i="1" s="1"/>
  <c r="L35" i="8"/>
  <c r="L38" i="1"/>
  <c r="N38" i="1" s="1"/>
  <c r="L27" i="1"/>
  <c r="N27" i="1" s="1"/>
  <c r="L24" i="8"/>
  <c r="L33" i="8"/>
  <c r="L36" i="1"/>
  <c r="N36" i="1" s="1"/>
  <c r="L41" i="1"/>
  <c r="N41" i="1" s="1"/>
  <c r="L38" i="8"/>
  <c r="L8" i="8"/>
  <c r="L12" i="1"/>
  <c r="N12" i="1" s="1"/>
  <c r="X42" i="9"/>
  <c r="Y42" i="9" s="1"/>
  <c r="M45" i="1"/>
  <c r="Y7" i="9"/>
  <c r="L13" i="8"/>
  <c r="L16" i="1"/>
  <c r="N16" i="1" s="1"/>
  <c r="L23" i="1"/>
  <c r="N23" i="1" s="1"/>
  <c r="L20" i="8"/>
  <c r="L15" i="1"/>
  <c r="N15" i="1" s="1"/>
  <c r="L12" i="8"/>
  <c r="L30" i="1"/>
  <c r="N30" i="1" s="1"/>
  <c r="L27" i="8"/>
  <c r="L33" i="1"/>
  <c r="N33" i="1" s="1"/>
  <c r="L30" i="8"/>
  <c r="L15" i="8"/>
  <c r="L18" i="1"/>
  <c r="N18" i="1" s="1"/>
  <c r="L21" i="8"/>
  <c r="L24" i="1"/>
  <c r="N24" i="1" s="1"/>
  <c r="L29" i="8"/>
  <c r="L32" i="1"/>
  <c r="N32" i="1" s="1"/>
  <c r="L16" i="8"/>
  <c r="L19" i="1"/>
  <c r="N19" i="1" s="1"/>
  <c r="L22" i="1"/>
  <c r="N22" i="1" s="1"/>
  <c r="L19" i="8"/>
  <c r="J42" i="8"/>
  <c r="L23" i="8"/>
  <c r="L26" i="1"/>
  <c r="N26" i="1" s="1"/>
  <c r="L34" i="1"/>
  <c r="N34" i="1" s="1"/>
  <c r="L31" i="8"/>
  <c r="L26" i="8"/>
  <c r="L29" i="1"/>
  <c r="N29" i="1" s="1"/>
  <c r="L13" i="1"/>
  <c r="N13" i="1" s="1"/>
  <c r="L10" i="8"/>
  <c r="L43" i="1"/>
  <c r="N43" i="1" s="1"/>
  <c r="L40" i="8"/>
  <c r="F43" i="21"/>
  <c r="F45" i="1"/>
  <c r="J45" i="1"/>
  <c r="G45" i="1"/>
  <c r="H45" i="1"/>
  <c r="I45" i="1"/>
  <c r="E45" i="1"/>
  <c r="R43" i="1" l="1"/>
  <c r="R37" i="1"/>
  <c r="R40" i="1"/>
  <c r="R30" i="1"/>
  <c r="Q34" i="1"/>
  <c r="Q33" i="1"/>
  <c r="Q42" i="1"/>
  <c r="Q36" i="1"/>
  <c r="Q32" i="1"/>
  <c r="Q25" i="1"/>
  <c r="Q35" i="1"/>
  <c r="Q24" i="1"/>
  <c r="Q15" i="1"/>
  <c r="Q12" i="1"/>
  <c r="Q44" i="1"/>
  <c r="Q26" i="1"/>
  <c r="Q43" i="1"/>
  <c r="Q20" i="1"/>
  <c r="Q39" i="1"/>
  <c r="Q29" i="1"/>
  <c r="Q17" i="1"/>
  <c r="Q37" i="1"/>
  <c r="Q30" i="1"/>
  <c r="Q40" i="1"/>
  <c r="Q27" i="1"/>
  <c r="Q13" i="1"/>
  <c r="Q22" i="1"/>
  <c r="Q23" i="1"/>
  <c r="Q28" i="1"/>
  <c r="Q14" i="1"/>
  <c r="Q19" i="1"/>
  <c r="Q16" i="1"/>
  <c r="Q21" i="1"/>
  <c r="Q38" i="1"/>
  <c r="Q31" i="1"/>
  <c r="Q18" i="1"/>
  <c r="Q41" i="1"/>
  <c r="K42" i="8"/>
  <c r="L42" i="8" s="1"/>
  <c r="L7" i="8"/>
  <c r="L45" i="1" l="1"/>
  <c r="N10" i="1"/>
  <c r="R17" i="1" s="1"/>
  <c r="Q10" i="1" l="1"/>
  <c r="N45" i="1"/>
  <c r="O11" i="1" s="1"/>
  <c r="O10" i="1" l="1"/>
  <c r="R45" i="1"/>
  <c r="O44" i="1"/>
  <c r="O31" i="1"/>
  <c r="O30" i="1"/>
  <c r="O12" i="1"/>
  <c r="O28" i="1"/>
  <c r="O22" i="1"/>
  <c r="O19" i="1"/>
  <c r="O41" i="1"/>
  <c r="O33" i="1"/>
  <c r="O36" i="1"/>
  <c r="O14" i="1"/>
  <c r="O26" i="1"/>
  <c r="O29" i="1"/>
  <c r="O39" i="1"/>
  <c r="O37" i="1"/>
  <c r="O42" i="1"/>
  <c r="O21" i="1"/>
  <c r="O38" i="1"/>
  <c r="O23" i="1"/>
  <c r="O16" i="1"/>
  <c r="O27" i="1"/>
  <c r="O25" i="1"/>
  <c r="O34" i="1"/>
  <c r="Q45" i="1"/>
  <c r="O35" i="1"/>
  <c r="O24" i="1"/>
  <c r="O17" i="1"/>
  <c r="O43" i="1"/>
  <c r="O15" i="1"/>
  <c r="O32" i="1"/>
  <c r="O20" i="1"/>
  <c r="O13" i="1"/>
  <c r="O18" i="1"/>
  <c r="O40" i="1"/>
  <c r="O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<sst xmlns="http://schemas.openxmlformats.org/spreadsheetml/2006/main" count="356" uniqueCount="152">
  <si>
    <t>Total Pool</t>
  </si>
  <si>
    <t>County Population</t>
  </si>
  <si>
    <t>Total</t>
  </si>
  <si>
    <t>% Split</t>
  </si>
  <si>
    <t>Y</t>
  </si>
  <si>
    <t>Award Percentage</t>
  </si>
  <si>
    <t>Weighted Per Capita</t>
  </si>
  <si>
    <t>County Group</t>
  </si>
  <si>
    <t>Burden of Disease Rank</t>
  </si>
  <si>
    <t>Health Status Rank</t>
  </si>
  <si>
    <t>Category Weight</t>
  </si>
  <si>
    <t>Category Dollars</t>
  </si>
  <si>
    <t>Award Per Capita</t>
  </si>
  <si>
    <t>Weighted Payout</t>
  </si>
  <si>
    <t>Rank</t>
  </si>
  <si>
    <t>% of Total Population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</si>
  <si>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</si>
  <si>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</si>
  <si>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t>% Non-white Population</t>
  </si>
  <si>
    <t>Limited English Proficiency</t>
  </si>
  <si>
    <t>Floor</t>
  </si>
  <si>
    <t>Total Pool:</t>
  </si>
  <si>
    <t>Medium County Floor:</t>
  </si>
  <si>
    <t>Large County Floor:</t>
  </si>
  <si>
    <t>Small County Floor:</t>
  </si>
  <si>
    <t>County Population:</t>
  </si>
  <si>
    <t>Burden of Disease:</t>
  </si>
  <si>
    <t>Health Status:</t>
  </si>
  <si>
    <t>Racial/Ethinic Diversity:</t>
  </si>
  <si>
    <t>Poverty:</t>
  </si>
  <si>
    <t>Limited English Proficiency:</t>
  </si>
  <si>
    <t>Matching Funds:</t>
  </si>
  <si>
    <t>Incentives:</t>
  </si>
  <si>
    <t>Weight</t>
  </si>
  <si>
    <t>Weighted Average</t>
  </si>
  <si>
    <t>Extra Small County Floor:</t>
  </si>
  <si>
    <t>Extra Large County Floor:</t>
  </si>
  <si>
    <t>Avg Award Per Capita</t>
  </si>
  <si>
    <t>Education:</t>
  </si>
  <si>
    <t>Total Award</t>
  </si>
  <si>
    <t>High School Education</t>
  </si>
  <si>
    <t>Indicator Pool</t>
  </si>
  <si>
    <t>PHAB Funding and Incentives Subcommittee</t>
  </si>
  <si>
    <t>County Size Bands</t>
  </si>
  <si>
    <t>Extra Small</t>
  </si>
  <si>
    <t>Small</t>
  </si>
  <si>
    <t>Medium</t>
  </si>
  <si>
    <t>Large</t>
  </si>
  <si>
    <t>Extra Large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</si>
  <si>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</si>
  <si>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</si>
  <si>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</si>
  <si>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</si>
  <si>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</si>
  <si>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</si>
  <si>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</si>
  <si>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</si>
  <si>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</si>
  <si>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</si>
  <si>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</si>
  <si>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</si>
  <si>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</si>
  <si>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</si>
  <si>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</si>
  <si>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</si>
  <si>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</si>
  <si>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</si>
  <si>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</si>
  <si>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</si>
  <si>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</si>
  <si>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</si>
  <si>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</si>
  <si>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</si>
  <si>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</si>
  <si>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</si>
  <si>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Tillamook</t>
  </si>
  <si>
    <t>Umatilla</t>
  </si>
  <si>
    <t>Union</t>
  </si>
  <si>
    <t>Wallowa</t>
  </si>
  <si>
    <t>Washington</t>
  </si>
  <si>
    <t>Wheeler</t>
  </si>
  <si>
    <t>Yamhill</t>
  </si>
  <si>
    <t>Population below 150% FPL</t>
  </si>
  <si>
    <t>Rurality</t>
  </si>
  <si>
    <t>Rurality:</t>
  </si>
  <si>
    <t>Indicator Allocations:</t>
  </si>
  <si>
    <t>Base Funding:</t>
  </si>
  <si>
    <t>Floor Payment</t>
  </si>
  <si>
    <t>Band</t>
  </si>
  <si>
    <t>Gilliam</t>
  </si>
  <si>
    <t>Sherman</t>
  </si>
  <si>
    <t>Wasco</t>
  </si>
  <si>
    <t>Total Funding:</t>
  </si>
  <si>
    <t>Incentive 1</t>
  </si>
  <si>
    <t>Met? (Y/N)</t>
  </si>
  <si>
    <t>Floor Payout</t>
  </si>
  <si>
    <t>Total Payout</t>
  </si>
  <si>
    <t>Incentive 2</t>
  </si>
  <si>
    <t>Incentive 3</t>
  </si>
  <si>
    <t>Incentive 4</t>
  </si>
  <si>
    <t>Incentive 1:</t>
  </si>
  <si>
    <t>Incentive 2:</t>
  </si>
  <si>
    <t>Incentive 3:</t>
  </si>
  <si>
    <t>Incentive 4:</t>
  </si>
  <si>
    <t>Qualified Population</t>
  </si>
  <si>
    <t>Population Payout</t>
  </si>
  <si>
    <t>Grand Total Payout</t>
  </si>
  <si>
    <t>Payout Per Capita</t>
  </si>
  <si>
    <t>Increase Funding</t>
  </si>
  <si>
    <t>Matching
(New Funds)</t>
  </si>
  <si>
    <t>Maintenance % Split</t>
  </si>
  <si>
    <t>Floor % Split</t>
  </si>
  <si>
    <t>Maintenance Payout</t>
  </si>
  <si>
    <t>Base component</t>
  </si>
  <si>
    <t>Matching and Incentive fund components</t>
  </si>
  <si>
    <t>Total county allocation</t>
  </si>
  <si>
    <t>Matching Funds</t>
  </si>
  <si>
    <t>Incentives</t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</si>
  <si>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</si>
  <si>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t>up to 20,000</t>
  </si>
  <si>
    <t>20,000-75,000</t>
  </si>
  <si>
    <t>75,000-150,000</t>
  </si>
  <si>
    <t>150,000-375,000</t>
  </si>
  <si>
    <t>above 375,000</t>
  </si>
  <si>
    <t>2017 Funding</t>
  </si>
  <si>
    <t>2018 Funding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</si>
  <si>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</si>
  <si>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</si>
  <si>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</si>
  <si>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</si>
  <si>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</si>
  <si>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t>Public Health Modernization LPHA Funding Formula</t>
  </si>
  <si>
    <t>Total biennial funds available to LPHAs through the funding formula =</t>
  </si>
  <si>
    <t>extra small</t>
  </si>
  <si>
    <t>small</t>
  </si>
  <si>
    <t>medium</t>
  </si>
  <si>
    <t>large</t>
  </si>
  <si>
    <t>extra large</t>
  </si>
  <si>
    <t>factor</t>
  </si>
  <si>
    <t>#</t>
  </si>
  <si>
    <t>Factor</t>
  </si>
  <si>
    <t>for cell C8 calculation on 'Input' page</t>
  </si>
  <si>
    <t>Sherman, Wasco</t>
  </si>
  <si>
    <t>Subcommittee Members: Carrie Brogoitti, Bob Dannenhoffer, Jackie Leung, Michael Baker, Veronica Irvin</t>
  </si>
  <si>
    <t>Updated June, 2022</t>
  </si>
  <si>
    <r>
      <t>1</t>
    </r>
    <r>
      <rPr>
        <sz val="11"/>
        <rFont val="Calibri"/>
        <family val="2"/>
      </rPr>
      <t xml:space="preserve"> Source: Portland State University Certified Population estimate July 1, 2021</t>
    </r>
  </si>
  <si>
    <r>
      <t xml:space="preserve">2 </t>
    </r>
    <r>
      <rPr>
        <sz val="11"/>
        <rFont val="Calibri"/>
        <family val="2"/>
        <scheme val="minor"/>
      </rPr>
      <t>Source: Premature death: Leading causes of years of potential life lost before age 75. Oregon Death Certificate data, 2016-2020.</t>
    </r>
  </si>
  <si>
    <r>
      <t xml:space="preserve">3 </t>
    </r>
    <r>
      <rPr>
        <sz val="11"/>
        <rFont val="Calibri"/>
        <family val="2"/>
        <scheme val="minor"/>
      </rPr>
      <t>Source: Quality of life: OHA, Oregon Behavioral Risk Factor Surveillance System (BRFSS), county file 2014-2017</t>
    </r>
  </si>
  <si>
    <r>
      <t xml:space="preserve">5 </t>
    </r>
    <r>
      <rPr>
        <sz val="11"/>
        <rFont val="Calibri"/>
        <family val="2"/>
        <scheme val="minor"/>
      </rPr>
      <t>Source: U.S. Census Bureau, Decennial Census, SF1 Table P2, 2010</t>
    </r>
  </si>
  <si>
    <r>
      <t xml:space="preserve">4 </t>
    </r>
    <r>
      <rPr>
        <sz val="11"/>
        <rFont val="Calibri"/>
        <family val="2"/>
        <scheme val="minor"/>
      </rPr>
      <t>Source: U.S. Census Bureau, American Community Survey (ACS), 5-year estimates, Table B02001, B15002, C16001, C17002, 2016-2020.</t>
    </r>
  </si>
  <si>
    <t>Not Updated</t>
  </si>
  <si>
    <t>Funding formula for LPHA allocations up to $19,999,999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</si>
</sst>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0" borderId="0"/>
  </cellStyleXfs>
  <cellXfs count="222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0" fillId="0" borderId="0" xfId="0" quotePrefix="1"/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6" fontId="3" fillId="5" borderId="0" xfId="0" applyNumberFormat="1" applyFont="1" applyFill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7" borderId="16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7" xfId="0" applyBorder="1"/>
    <xf numFmtId="44" fontId="3" fillId="7" borderId="17" xfId="2" applyNumberFormat="1" applyFont="1" applyFill="1" applyBorder="1" applyAlignment="1">
      <alignment horizontal="center"/>
    </xf>
    <xf numFmtId="0" fontId="0" fillId="8" borderId="16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6" xfId="0" applyFont="1" applyFill="1" applyBorder="1" applyAlignment="1"/>
    <xf numFmtId="44" fontId="3" fillId="8" borderId="17" xfId="2" applyNumberFormat="1" applyFont="1" applyFill="1" applyBorder="1" applyAlignment="1">
      <alignment horizontal="center"/>
    </xf>
    <xf numFmtId="0" fontId="0" fillId="10" borderId="16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7" xfId="2" applyNumberFormat="1" applyFont="1" applyFill="1" applyBorder="1" applyAlignment="1">
      <alignment horizontal="center"/>
    </xf>
    <xf numFmtId="0" fontId="0" fillId="5" borderId="16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7" xfId="2" applyNumberFormat="1" applyFont="1" applyFill="1" applyBorder="1" applyAlignment="1">
      <alignment horizontal="center"/>
    </xf>
    <xf numFmtId="0" fontId="0" fillId="6" borderId="16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7" xfId="2" applyNumberFormat="1" applyFont="1" applyFill="1" applyBorder="1" applyAlignment="1">
      <alignment horizontal="center"/>
    </xf>
    <xf numFmtId="0" fontId="3" fillId="2" borderId="18" xfId="0" applyFont="1" applyFill="1" applyBorder="1"/>
    <xf numFmtId="164" fontId="3" fillId="2" borderId="19" xfId="0" applyNumberFormat="1" applyFont="1" applyFill="1" applyBorder="1"/>
    <xf numFmtId="165" fontId="3" fillId="2" borderId="19" xfId="0" applyNumberFormat="1" applyFont="1" applyFill="1" applyBorder="1"/>
    <xf numFmtId="166" fontId="3" fillId="2" borderId="19" xfId="3" applyNumberFormat="1" applyFont="1" applyFill="1" applyBorder="1"/>
    <xf numFmtId="44" fontId="3" fillId="2" borderId="20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3" xfId="0" applyNumberFormat="1" applyFont="1" applyFill="1" applyBorder="1"/>
    <xf numFmtId="165" fontId="3" fillId="2" borderId="24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3" fillId="2" borderId="24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3" xfId="0" applyNumberFormat="1" applyFont="1" applyFill="1" applyBorder="1"/>
    <xf numFmtId="165" fontId="16" fillId="2" borderId="24" xfId="0" applyNumberFormat="1" applyFont="1" applyFill="1" applyBorder="1"/>
    <xf numFmtId="0" fontId="5" fillId="0" borderId="0" xfId="0" applyFont="1" applyFill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6" fontId="5" fillId="0" borderId="0" xfId="0" applyNumberFormat="1" applyFont="1" applyFill="1"/>
    <xf numFmtId="44" fontId="3" fillId="0" borderId="17" xfId="2" applyNumberFormat="1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21" fillId="0" borderId="0" xfId="0" applyFont="1" applyFill="1" applyAlignment="1"/>
    <xf numFmtId="0" fontId="21" fillId="0" borderId="0" xfId="0" applyFont="1" applyFill="1" applyAlignment="1">
      <alignment horizontal="left"/>
    </xf>
    <xf numFmtId="43" fontId="0" fillId="9" borderId="0" xfId="1" applyFont="1" applyFill="1" applyBorder="1" applyAlignment="1">
      <alignment horizontal="center"/>
    </xf>
    <xf numFmtId="43" fontId="0" fillId="9" borderId="6" xfId="1" applyFont="1" applyFill="1" applyBorder="1" applyAlignment="1">
      <alignment horizontal="center"/>
    </xf>
    <xf numFmtId="165" fontId="0" fillId="9" borderId="0" xfId="2" applyNumberFormat="1" applyFont="1" applyFill="1" applyBorder="1" applyAlignment="1">
      <alignment horizontal="center"/>
    </xf>
    <xf numFmtId="0" fontId="0" fillId="9" borderId="0" xfId="0" applyFill="1" applyBorder="1" applyAlignment="1"/>
    <xf numFmtId="164" fontId="0" fillId="9" borderId="0" xfId="1" applyNumberFormat="1" applyFont="1" applyFill="1"/>
    <xf numFmtId="8" fontId="0" fillId="9" borderId="0" xfId="0" applyNumberFormat="1" applyFill="1"/>
    <xf numFmtId="6" fontId="0" fillId="9" borderId="0" xfId="0" applyNumberFormat="1" applyFill="1"/>
    <xf numFmtId="0" fontId="0" fillId="3" borderId="0" xfId="0" applyFill="1"/>
    <xf numFmtId="0" fontId="23" fillId="0" borderId="0" xfId="0" applyFont="1" applyFill="1"/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/>
    <xf numFmtId="3" fontId="0" fillId="0" borderId="0" xfId="0" applyNumberFormat="1"/>
    <xf numFmtId="0" fontId="10" fillId="16" borderId="0" xfId="0" applyFont="1" applyFill="1" applyAlignment="1">
      <alignment vertical="center"/>
    </xf>
    <xf numFmtId="0" fontId="3" fillId="16" borderId="0" xfId="0" applyFont="1" applyFill="1"/>
    <xf numFmtId="0" fontId="5" fillId="16" borderId="0" xfId="0" applyFont="1" applyFill="1" applyAlignment="1">
      <alignment vertical="center"/>
    </xf>
    <xf numFmtId="6" fontId="0" fillId="0" borderId="0" xfId="1" applyNumberFormat="1" applyFont="1"/>
    <xf numFmtId="0" fontId="0" fillId="0" borderId="0" xfId="0" applyBorder="1" applyAlignment="1">
      <alignment horizontal="center"/>
    </xf>
    <xf numFmtId="2" fontId="4" fillId="14" borderId="21" xfId="0" applyNumberFormat="1" applyFont="1" applyFill="1" applyBorder="1" applyAlignment="1">
      <alignment horizontal="center" vertical="center" wrapText="1"/>
    </xf>
    <xf numFmtId="2" fontId="4" fillId="14" borderId="14" xfId="0" applyNumberFormat="1" applyFont="1" applyFill="1" applyBorder="1" applyAlignment="1">
      <alignment horizontal="center" vertical="center" wrapText="1"/>
    </xf>
    <xf numFmtId="2" fontId="4" fillId="14" borderId="22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2" fontId="14" fillId="14" borderId="2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5" xr:uid="{8C05642A-5664-4D88-87B1-6919493F0BE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928687</xdr:colOff>
      <xdr:row>21</xdr:row>
      <xdr:rowOff>16383</xdr:rowOff>
    </xdr:from>
    <xdr:ext cx="5884124" cy="19708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3364D43-D9A9-4019-B0C2-97B5DD666929}"/>
            </a:ext>
          </a:extLst>
        </xdr:cNvPr>
        <xdr:cNvSpPr/>
      </xdr:nvSpPr>
      <xdr:spPr>
        <a:xfrm rot="20395701">
          <a:off x="5453062" y="4326446"/>
          <a:ext cx="5884124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12000" b="0" cap="none" spc="0">
            <a:ln w="0"/>
            <a:solidFill>
              <a:schemeClr val="bg1">
                <a:lumMod val="65000"/>
                <a:alpha val="39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workbookViewId="0">
      <selection activeCell="H24" sqref="H24"/>
    </sheetView>
  </sheetViews>
  <sheetFormatPr defaultRowHeight="15" x14ac:dyDescent="0.25"/>
  <cols>
    <col min="2" max="2" width="25.85546875" bestFit="1" customWidth="1"/>
    <col min="3" max="3" width="11.85546875" bestFit="1" customWidth="1"/>
    <col min="4" max="4" width="12.140625" bestFit="1" customWidth="1"/>
    <col min="8" max="8" width="18.42578125" bestFit="1" customWidth="1"/>
  </cols>
  <sheetData>
    <row r="1" spans="2:8" ht="18.75" x14ac:dyDescent="0.3">
      <c r="B1" s="24" t="s">
        <v>42</v>
      </c>
      <c r="C1" s="24"/>
    </row>
    <row r="2" spans="2:8" ht="15.75" x14ac:dyDescent="0.25">
      <c r="B2" s="206" t="s">
        <v>143</v>
      </c>
      <c r="C2" s="207"/>
      <c r="D2" s="208"/>
      <c r="E2" s="208"/>
      <c r="F2" s="208"/>
      <c r="G2" s="208"/>
      <c r="H2" s="208"/>
    </row>
    <row r="3" spans="2:8" ht="15.75" x14ac:dyDescent="0.25">
      <c r="B3" s="23" t="s">
        <v>144</v>
      </c>
    </row>
    <row r="4" spans="2:8" ht="15.75" x14ac:dyDescent="0.25">
      <c r="B4" s="23"/>
    </row>
    <row r="5" spans="2:8" x14ac:dyDescent="0.25">
      <c r="B5" s="30" t="s">
        <v>92</v>
      </c>
      <c r="C5" s="52">
        <v>14500000</v>
      </c>
    </row>
    <row r="6" spans="2:8" x14ac:dyDescent="0.25">
      <c r="C6" s="9"/>
    </row>
    <row r="7" spans="2:8" x14ac:dyDescent="0.25">
      <c r="B7" s="30" t="s">
        <v>86</v>
      </c>
      <c r="C7" s="49">
        <f>IF(C5&lt;10000000,1860000/C5,18.45%)</f>
        <v>0.1845</v>
      </c>
    </row>
    <row r="8" spans="2:8" x14ac:dyDescent="0.25">
      <c r="B8" t="s">
        <v>35</v>
      </c>
      <c r="C8" s="34">
        <f>IF(C5&lt;10000000,30000/C5,C7*Floor!S12)</f>
        <v>2.975806451612903E-3</v>
      </c>
      <c r="D8" s="6"/>
    </row>
    <row r="9" spans="2:8" x14ac:dyDescent="0.25">
      <c r="B9" t="s">
        <v>24</v>
      </c>
      <c r="C9" s="34">
        <f>C8*1.5</f>
        <v>4.4637096774193547E-3</v>
      </c>
      <c r="D9" s="6"/>
    </row>
    <row r="10" spans="2:8" x14ac:dyDescent="0.25">
      <c r="B10" t="s">
        <v>22</v>
      </c>
      <c r="C10" s="34">
        <f>C8*2</f>
        <v>5.951612903225806E-3</v>
      </c>
      <c r="D10" s="6"/>
    </row>
    <row r="11" spans="2:8" x14ac:dyDescent="0.25">
      <c r="B11" t="s">
        <v>23</v>
      </c>
      <c r="C11" s="34">
        <f>C8*2.5</f>
        <v>7.4395161290322573E-3</v>
      </c>
      <c r="D11" s="6"/>
    </row>
    <row r="12" spans="2:8" x14ac:dyDescent="0.25">
      <c r="B12" t="s">
        <v>36</v>
      </c>
      <c r="C12" s="34">
        <f>C8*3</f>
        <v>8.9274193548387094E-3</v>
      </c>
      <c r="D12" s="47"/>
    </row>
    <row r="14" spans="2:8" x14ac:dyDescent="0.25">
      <c r="B14" s="30" t="s">
        <v>85</v>
      </c>
      <c r="C14" s="50">
        <f>1-C7-C25-C28</f>
        <v>0.8155</v>
      </c>
      <c r="D14" s="22">
        <f>SUM(D15:D22)-1</f>
        <v>0</v>
      </c>
    </row>
    <row r="15" spans="2:8" x14ac:dyDescent="0.25">
      <c r="B15" t="s">
        <v>25</v>
      </c>
      <c r="C15" s="34">
        <f>$C$14*D15</f>
        <v>0</v>
      </c>
      <c r="D15" s="53">
        <v>0</v>
      </c>
    </row>
    <row r="16" spans="2:8" x14ac:dyDescent="0.25">
      <c r="B16" t="s">
        <v>26</v>
      </c>
      <c r="C16" s="34">
        <f t="shared" ref="C16:C22" si="0">$C$14*D16</f>
        <v>4.0775000000000006E-2</v>
      </c>
      <c r="D16" s="53">
        <f>5/100</f>
        <v>0.05</v>
      </c>
    </row>
    <row r="17" spans="2:4" x14ac:dyDescent="0.25">
      <c r="B17" t="s">
        <v>27</v>
      </c>
      <c r="C17" s="34">
        <f t="shared" si="0"/>
        <v>4.0775000000000006E-2</v>
      </c>
      <c r="D17" s="53">
        <f>5/100</f>
        <v>0.05</v>
      </c>
    </row>
    <row r="18" spans="2:4" x14ac:dyDescent="0.25">
      <c r="B18" t="s">
        <v>28</v>
      </c>
      <c r="C18" s="34">
        <f t="shared" si="0"/>
        <v>0.14679</v>
      </c>
      <c r="D18" s="53">
        <f>18/100</f>
        <v>0.18</v>
      </c>
    </row>
    <row r="19" spans="2:4" x14ac:dyDescent="0.25">
      <c r="B19" t="s">
        <v>84</v>
      </c>
      <c r="C19" s="34">
        <f t="shared" si="0"/>
        <v>0.14679</v>
      </c>
      <c r="D19" s="53">
        <f>18/100</f>
        <v>0.18</v>
      </c>
    </row>
    <row r="20" spans="2:4" x14ac:dyDescent="0.25">
      <c r="B20" t="s">
        <v>29</v>
      </c>
      <c r="C20" s="34">
        <f t="shared" si="0"/>
        <v>0.14679</v>
      </c>
      <c r="D20" s="53">
        <f>18/100</f>
        <v>0.18</v>
      </c>
    </row>
    <row r="21" spans="2:4" x14ac:dyDescent="0.25">
      <c r="B21" t="s">
        <v>38</v>
      </c>
      <c r="C21" s="34">
        <f t="shared" si="0"/>
        <v>0.14679</v>
      </c>
      <c r="D21" s="53">
        <f>18/100</f>
        <v>0.18</v>
      </c>
    </row>
    <row r="22" spans="2:4" x14ac:dyDescent="0.25">
      <c r="B22" t="s">
        <v>30</v>
      </c>
      <c r="C22" s="34">
        <f t="shared" si="0"/>
        <v>0.14679</v>
      </c>
      <c r="D22" s="53">
        <f>18/100</f>
        <v>0.18</v>
      </c>
    </row>
    <row r="23" spans="2:4" x14ac:dyDescent="0.25">
      <c r="C23" s="29"/>
      <c r="D23" s="22"/>
    </row>
    <row r="24" spans="2:4" x14ac:dyDescent="0.25">
      <c r="C24" s="29"/>
    </row>
    <row r="25" spans="2:4" x14ac:dyDescent="0.25">
      <c r="B25" s="30" t="s">
        <v>31</v>
      </c>
      <c r="C25" s="49">
        <f>IF($C$5&gt;=15000000,0.05,0)</f>
        <v>0</v>
      </c>
    </row>
    <row r="26" spans="2:4" x14ac:dyDescent="0.25">
      <c r="B26" s="89" t="s">
        <v>110</v>
      </c>
      <c r="C26" s="90">
        <v>0.5</v>
      </c>
    </row>
    <row r="27" spans="2:4" x14ac:dyDescent="0.25">
      <c r="B27" s="30"/>
      <c r="C27" s="88"/>
    </row>
    <row r="28" spans="2:4" x14ac:dyDescent="0.25">
      <c r="B28" s="30" t="s">
        <v>32</v>
      </c>
      <c r="C28" s="49">
        <f>IF($C$5&gt;=15000000,0.01,0)</f>
        <v>0</v>
      </c>
    </row>
    <row r="29" spans="2:4" x14ac:dyDescent="0.25">
      <c r="B29" s="91" t="s">
        <v>111</v>
      </c>
      <c r="C29" s="90">
        <v>0.24</v>
      </c>
    </row>
    <row r="30" spans="2:4" x14ac:dyDescent="0.25">
      <c r="B30" s="30"/>
      <c r="C30" s="88"/>
    </row>
    <row r="31" spans="2:4" x14ac:dyDescent="0.25">
      <c r="B31" s="71" t="s">
        <v>100</v>
      </c>
      <c r="C31" s="34">
        <f>$C$28*D31</f>
        <v>0</v>
      </c>
      <c r="D31" s="53">
        <v>1</v>
      </c>
    </row>
    <row r="32" spans="2:4" x14ac:dyDescent="0.25">
      <c r="B32" s="71" t="s">
        <v>101</v>
      </c>
      <c r="C32" s="34">
        <f t="shared" ref="C32:C34" si="1">$C$28*D32</f>
        <v>0</v>
      </c>
      <c r="D32" s="53">
        <v>0</v>
      </c>
    </row>
    <row r="33" spans="2:4" x14ac:dyDescent="0.25">
      <c r="B33" s="71" t="s">
        <v>102</v>
      </c>
      <c r="C33" s="34">
        <f t="shared" si="1"/>
        <v>0</v>
      </c>
      <c r="D33" s="53">
        <v>0</v>
      </c>
    </row>
    <row r="34" spans="2:4" x14ac:dyDescent="0.25">
      <c r="B34" s="71" t="s">
        <v>103</v>
      </c>
      <c r="C34" s="34">
        <f t="shared" si="1"/>
        <v>0</v>
      </c>
      <c r="D34" s="53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2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14500000</v>
      </c>
    </row>
    <row r="4" spans="2:8" x14ac:dyDescent="0.25">
      <c r="B4" t="s">
        <v>41</v>
      </c>
      <c r="C4" s="14">
        <f>'County Data'!H9</f>
        <v>2128455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Data'!$B$12</f>
        <v>Clackamas</v>
      </c>
      <c r="C7" s="15">
        <f>VLOOKUP($B7,'County Data'!$B$10:$L$46,2,FALSE)</f>
        <v>425316</v>
      </c>
      <c r="D7" s="29">
        <f>VLOOKUP($B7,'County Data'!$B$10:$L$46,7,FALSE)</f>
        <v>0.12580717205752406</v>
      </c>
      <c r="E7" s="31">
        <f t="shared" ref="E7:E41" si="0">C7*D7</f>
        <v>53507.803190817904</v>
      </c>
      <c r="F7" s="6">
        <f t="shared" ref="F7:F41" si="1">E7/$E$42</f>
        <v>7.4672348854716103E-2</v>
      </c>
      <c r="G7" s="14">
        <f t="shared" ref="G7:G41" si="2">$C$4*F7</f>
        <v>158936.73428156477</v>
      </c>
      <c r="H7" s="10">
        <f t="shared" ref="H7:H41" si="3">G7/C7</f>
        <v>0.37369093634277756</v>
      </c>
    </row>
    <row r="8" spans="2:8" x14ac:dyDescent="0.25">
      <c r="B8" s="20" t="s">
        <v>89</v>
      </c>
      <c r="C8" s="15">
        <v>2039</v>
      </c>
      <c r="D8" s="29">
        <v>0.28266666666666668</v>
      </c>
      <c r="E8" s="31">
        <f t="shared" ref="E8" si="4">C8*D8</f>
        <v>576.35733333333337</v>
      </c>
      <c r="F8" s="6">
        <f t="shared" ref="F8" si="5">E8/$E$42</f>
        <v>8.0433045823540743E-4</v>
      </c>
      <c r="G8" s="14">
        <f t="shared" ref="G8" si="6">$C$4*F8</f>
        <v>1711.9811854834441</v>
      </c>
      <c r="H8" s="10">
        <f t="shared" ref="H8" si="7">G8/C8</f>
        <v>0.83961804094332715</v>
      </c>
    </row>
    <row r="9" spans="2:8" x14ac:dyDescent="0.25">
      <c r="B9" s="20" t="str">
        <f>+'County Data'!$B$44</f>
        <v>Washington</v>
      </c>
      <c r="C9" s="15">
        <f>VLOOKUP($B9,'County Data'!$B$10:$L$46,2,FALSE)</f>
        <v>605036</v>
      </c>
      <c r="D9" s="29">
        <f>VLOOKUP($B9,'County Data'!$B$10:$L$46,7,FALSE)</f>
        <v>0.14036051059906585</v>
      </c>
      <c r="E9" s="31">
        <f t="shared" si="0"/>
        <v>84923.161890816409</v>
      </c>
      <c r="F9" s="6">
        <f t="shared" si="1"/>
        <v>0.11851377915744409</v>
      </c>
      <c r="G9" s="14">
        <f t="shared" si="2"/>
        <v>252251.24581655764</v>
      </c>
      <c r="H9" s="10">
        <f t="shared" si="3"/>
        <v>0.41691939953417256</v>
      </c>
    </row>
    <row r="10" spans="2:8" x14ac:dyDescent="0.25">
      <c r="B10" s="20" t="str">
        <f>+'County Data'!$B$18</f>
        <v>Deschutes</v>
      </c>
      <c r="C10" s="15">
        <f>VLOOKUP($B10,'County Data'!$B$10:$L$46,2,FALSE)</f>
        <v>203390</v>
      </c>
      <c r="D10" s="29">
        <f>VLOOKUP($B10,'County Data'!$B$10:$L$46,7,FALSE)</f>
        <v>0.16956101760759321</v>
      </c>
      <c r="E10" s="31">
        <f t="shared" si="0"/>
        <v>34487.015371208385</v>
      </c>
      <c r="F10" s="6">
        <f t="shared" si="1"/>
        <v>4.8128054025562111E-2</v>
      </c>
      <c r="G10" s="14">
        <f t="shared" si="2"/>
        <v>102438.3972309778</v>
      </c>
      <c r="H10" s="10">
        <f t="shared" si="3"/>
        <v>0.50365503333977979</v>
      </c>
    </row>
    <row r="11" spans="2:8" x14ac:dyDescent="0.25">
      <c r="B11" s="20" t="str">
        <f>+'County Data'!$B$14</f>
        <v>Columbia</v>
      </c>
      <c r="C11" s="15">
        <f>VLOOKUP($B11,'County Data'!$B$10:$L$46,2,FALSE)</f>
        <v>53014</v>
      </c>
      <c r="D11" s="29">
        <f>VLOOKUP($B11,'County Data'!$B$10:$L$46,7,FALSE)</f>
        <v>0.17082057444086979</v>
      </c>
      <c r="E11" s="31">
        <f t="shared" si="0"/>
        <v>9055.8819334082709</v>
      </c>
      <c r="F11" s="6">
        <f t="shared" si="1"/>
        <v>1.2637857183316869E-2</v>
      </c>
      <c r="G11" s="14">
        <f t="shared" si="2"/>
        <v>26899.110311116707</v>
      </c>
      <c r="H11" s="10">
        <f t="shared" si="3"/>
        <v>0.5073963540030314</v>
      </c>
    </row>
    <row r="12" spans="2:8" x14ac:dyDescent="0.25">
      <c r="B12" s="20" t="str">
        <f>+'County Data'!$B$37</f>
        <v>Polk</v>
      </c>
      <c r="C12" s="15">
        <f>VLOOKUP($B12,'County Data'!$B$10:$L$46,2,FALSE)</f>
        <v>88916</v>
      </c>
      <c r="D12" s="29">
        <f>VLOOKUP($B12,'County Data'!$B$10:$L$46,7,FALSE)</f>
        <v>0.19208848122557146</v>
      </c>
      <c r="E12" s="31">
        <f t="shared" si="0"/>
        <v>17079.739396652913</v>
      </c>
      <c r="F12" s="6">
        <f t="shared" si="1"/>
        <v>2.3835481603052697E-2</v>
      </c>
      <c r="G12" s="14">
        <f t="shared" si="2"/>
        <v>50732.749995425525</v>
      </c>
      <c r="H12" s="10">
        <f t="shared" si="3"/>
        <v>0.57056941377733505</v>
      </c>
    </row>
    <row r="13" spans="2:8" x14ac:dyDescent="0.25">
      <c r="B13" s="20" t="str">
        <f>+'County Data'!$B$23</f>
        <v>Hood River</v>
      </c>
      <c r="C13" s="15">
        <f>VLOOKUP($B13,'County Data'!$B$10:$L$46,2,FALSE)</f>
        <v>23888</v>
      </c>
      <c r="D13" s="29">
        <f>VLOOKUP($B13,'County Data'!$B$10:$L$46,7,FALSE)</f>
        <v>0.14910114793155729</v>
      </c>
      <c r="E13" s="31">
        <f t="shared" si="0"/>
        <v>3561.7282217890406</v>
      </c>
      <c r="F13" s="6">
        <f t="shared" si="1"/>
        <v>4.9705388082304756E-3</v>
      </c>
      <c r="G13" s="14">
        <f t="shared" si="2"/>
        <v>10579.568179072197</v>
      </c>
      <c r="H13" s="10">
        <f t="shared" si="3"/>
        <v>0.44288212404019578</v>
      </c>
    </row>
    <row r="14" spans="2:8" x14ac:dyDescent="0.25">
      <c r="B14" s="20" t="str">
        <f>+'County Data'!$B$46</f>
        <v>Yamhill</v>
      </c>
      <c r="C14" s="15">
        <f>VLOOKUP($B14,'County Data'!$B$10:$L$46,2,FALSE)</f>
        <v>108261</v>
      </c>
      <c r="D14" s="29">
        <f>VLOOKUP($B14,'County Data'!$B$10:$L$46,7,FALSE)</f>
        <v>0.18686853664098674</v>
      </c>
      <c r="E14" s="31">
        <f t="shared" si="0"/>
        <v>20230.574645289864</v>
      </c>
      <c r="F14" s="6">
        <f t="shared" si="1"/>
        <v>2.8232602300213544E-2</v>
      </c>
      <c r="G14" s="14">
        <f t="shared" si="2"/>
        <v>60091.823528901019</v>
      </c>
      <c r="H14" s="10">
        <f t="shared" si="3"/>
        <v>0.55506436786008828</v>
      </c>
    </row>
    <row r="15" spans="2:8" x14ac:dyDescent="0.25">
      <c r="B15" s="20" t="str">
        <f>+'County Data'!$B$35</f>
        <v>Multnomah</v>
      </c>
      <c r="C15" s="15">
        <f>VLOOKUP($B15,'County Data'!$B$10:$L$46,2,FALSE)</f>
        <v>0</v>
      </c>
      <c r="D15" s="29">
        <f>VLOOKUP($B15,'County Data'!$B$10:$L$46,7,FALSE)</f>
        <v>0.20682215919377225</v>
      </c>
      <c r="E15" s="31">
        <f t="shared" si="0"/>
        <v>0</v>
      </c>
      <c r="F15" s="6">
        <f t="shared" si="1"/>
        <v>0</v>
      </c>
      <c r="G15" s="14">
        <f t="shared" si="2"/>
        <v>0</v>
      </c>
      <c r="H15" s="10" t="e">
        <f t="shared" si="3"/>
        <v>#DIV/0!</v>
      </c>
    </row>
    <row r="16" spans="2:8" x14ac:dyDescent="0.25">
      <c r="B16" s="20" t="str">
        <f>+'County Data'!$B$42</f>
        <v>Wallowa</v>
      </c>
      <c r="C16" s="15">
        <f>VLOOKUP($B16,'County Data'!$B$10:$L$46,2,FALSE)</f>
        <v>7433</v>
      </c>
      <c r="D16" s="29">
        <f>VLOOKUP($B16,'County Data'!$B$10:$L$46,7,FALSE)</f>
        <v>0.17978173463526709</v>
      </c>
      <c r="E16" s="31">
        <f t="shared" si="0"/>
        <v>1336.3176335439402</v>
      </c>
      <c r="F16" s="6">
        <f t="shared" si="1"/>
        <v>1.8648864382798159E-3</v>
      </c>
      <c r="G16" s="14">
        <f t="shared" si="2"/>
        <v>3969.3268639888656</v>
      </c>
      <c r="H16" s="10">
        <f t="shared" si="3"/>
        <v>0.53401410789571713</v>
      </c>
    </row>
    <row r="17" spans="2:8" x14ac:dyDescent="0.25">
      <c r="B17" s="20" t="str">
        <f>+'County Data'!$B$13</f>
        <v>Clatsop</v>
      </c>
      <c r="C17" s="15">
        <f>VLOOKUP($B17,'County Data'!$B$10:$L$46,2,FALSE)</f>
        <v>41428</v>
      </c>
      <c r="D17" s="29">
        <f>VLOOKUP($B17,'County Data'!$B$10:$L$46,7,FALSE)</f>
        <v>0.21189343968911387</v>
      </c>
      <c r="E17" s="31">
        <f t="shared" si="0"/>
        <v>8778.32141944061</v>
      </c>
      <c r="F17" s="6">
        <f t="shared" si="1"/>
        <v>1.2250510024746843E-2</v>
      </c>
      <c r="G17" s="14">
        <f t="shared" si="2"/>
        <v>26074.659314722539</v>
      </c>
      <c r="H17" s="10">
        <f t="shared" si="3"/>
        <v>0.62939700962446987</v>
      </c>
    </row>
    <row r="18" spans="2:8" x14ac:dyDescent="0.25">
      <c r="B18" s="20" t="str">
        <f>+'County Data'!$B$36</f>
        <v>Sherman, Wasco</v>
      </c>
      <c r="C18" s="15">
        <f>VLOOKUP($B18,'County Data'!$B$10:$L$46,2,FALSE)</f>
        <v>28489</v>
      </c>
      <c r="D18" s="29">
        <f>VLOOKUP($B18,'County Data'!$B$10:$L$46,7,FALSE)</f>
        <v>0.21912466746838671</v>
      </c>
      <c r="E18" s="31">
        <f t="shared" si="0"/>
        <v>6242.6426515068688</v>
      </c>
      <c r="F18" s="6">
        <f t="shared" si="1"/>
        <v>8.7118655981123141E-3</v>
      </c>
      <c r="G18" s="14">
        <f t="shared" si="2"/>
        <v>18542.813891630147</v>
      </c>
      <c r="H18" s="10">
        <f t="shared" si="3"/>
        <v>0.65087626422935685</v>
      </c>
    </row>
    <row r="19" spans="2:8" x14ac:dyDescent="0.25">
      <c r="B19" s="20" t="str">
        <f>+'County Data'!$B$34</f>
        <v>Morrow</v>
      </c>
      <c r="C19" s="15">
        <f>VLOOKUP($B19,'County Data'!$B$10:$L$46,2,FALSE)</f>
        <v>12635</v>
      </c>
      <c r="D19" s="29">
        <f>VLOOKUP($B19,'County Data'!$B$10:$L$46,7,FALSE)</f>
        <v>0.32466619817287423</v>
      </c>
      <c r="E19" s="31">
        <f t="shared" si="0"/>
        <v>4102.1574139142658</v>
      </c>
      <c r="F19" s="6">
        <f t="shared" si="1"/>
        <v>5.724730061826405E-3</v>
      </c>
      <c r="G19" s="14">
        <f t="shared" si="2"/>
        <v>12184.830323744722</v>
      </c>
      <c r="H19" s="10">
        <f t="shared" si="3"/>
        <v>0.96437121675858506</v>
      </c>
    </row>
    <row r="20" spans="2:8" x14ac:dyDescent="0.25">
      <c r="B20" s="20" t="str">
        <f>+'County Data'!$B$39</f>
        <v>Tillamook</v>
      </c>
      <c r="C20" s="15">
        <f>VLOOKUP($B20,'County Data'!$B$10:$L$46,2,FALSE)</f>
        <v>27628</v>
      </c>
      <c r="D20" s="29">
        <f>VLOOKUP($B20,'County Data'!$B$10:$L$46,7,FALSE)</f>
        <v>0.19578624784524037</v>
      </c>
      <c r="E20" s="31">
        <f t="shared" si="0"/>
        <v>5409.1824554683008</v>
      </c>
      <c r="F20" s="6">
        <f t="shared" si="1"/>
        <v>7.548737478403001E-3</v>
      </c>
      <c r="G20" s="14">
        <f t="shared" si="2"/>
        <v>16067.14802959426</v>
      </c>
      <c r="H20" s="10">
        <f t="shared" si="3"/>
        <v>0.58155306318207112</v>
      </c>
    </row>
    <row r="21" spans="2:8" x14ac:dyDescent="0.25">
      <c r="B21" s="20" t="str">
        <f>+'County Data'!$B$10</f>
        <v>Baker</v>
      </c>
      <c r="C21" s="15">
        <f>VLOOKUP($B21,'County Data'!$B$10:$L$46,2,FALSE)</f>
        <v>16860</v>
      </c>
      <c r="D21" s="29">
        <f>VLOOKUP($B21,'County Data'!$B$10:$L$46,7,FALSE)</f>
        <v>0.25430284277702569</v>
      </c>
      <c r="E21" s="31">
        <f t="shared" si="0"/>
        <v>4287.5459292206533</v>
      </c>
      <c r="F21" s="6">
        <f t="shared" si="1"/>
        <v>5.9834473901990261E-3</v>
      </c>
      <c r="G21" s="14">
        <f t="shared" si="2"/>
        <v>12735.498514906069</v>
      </c>
      <c r="H21" s="10">
        <f t="shared" si="3"/>
        <v>0.75536764619846197</v>
      </c>
    </row>
    <row r="22" spans="2:8" x14ac:dyDescent="0.25">
      <c r="B22" s="20" t="str">
        <f>+'County Data'!$B$17</f>
        <v>Curry</v>
      </c>
      <c r="C22" s="15">
        <f>VLOOKUP($B22,'County Data'!$B$10:$L$46,2,FALSE)</f>
        <v>23662</v>
      </c>
      <c r="D22" s="29">
        <f>VLOOKUP($B22,'County Data'!$B$10:$L$46,7,FALSE)</f>
        <v>0.21952185972790914</v>
      </c>
      <c r="E22" s="31">
        <f t="shared" si="0"/>
        <v>5194.3262448817859</v>
      </c>
      <c r="F22" s="6">
        <f t="shared" si="1"/>
        <v>7.2488967644551002E-3</v>
      </c>
      <c r="G22" s="14">
        <f t="shared" si="2"/>
        <v>15428.950562788281</v>
      </c>
      <c r="H22" s="10">
        <f t="shared" si="3"/>
        <v>0.65205606300347729</v>
      </c>
    </row>
    <row r="23" spans="2:8" x14ac:dyDescent="0.25">
      <c r="B23" s="20" t="str">
        <f>+'County Data'!$B$31</f>
        <v>Linn</v>
      </c>
      <c r="C23" s="15">
        <f>VLOOKUP($B23,'County Data'!$B$10:$L$46,2,FALSE)</f>
        <v>130440</v>
      </c>
      <c r="D23" s="29">
        <f>VLOOKUP($B23,'County Data'!$B$10:$L$46,7,FALSE)</f>
        <v>0.22572959142879986</v>
      </c>
      <c r="E23" s="31">
        <f t="shared" si="0"/>
        <v>29444.167905972656</v>
      </c>
      <c r="F23" s="6">
        <f t="shared" si="1"/>
        <v>4.1090552153128262E-2</v>
      </c>
      <c r="G23" s="14">
        <f t="shared" si="2"/>
        <v>87459.391183086613</v>
      </c>
      <c r="H23" s="10">
        <f t="shared" si="3"/>
        <v>0.67049517926316016</v>
      </c>
    </row>
    <row r="24" spans="2:8" x14ac:dyDescent="0.25">
      <c r="B24" s="20" t="str">
        <f>+'County Data'!$B$22</f>
        <v>Harney</v>
      </c>
      <c r="C24" s="15">
        <f>VLOOKUP($B24,'County Data'!$B$10:$L$46,2,FALSE)</f>
        <v>7537</v>
      </c>
      <c r="D24" s="29">
        <f>VLOOKUP($B24,'County Data'!$B$10:$L$46,7,FALSE)</f>
        <v>0.21750737670366727</v>
      </c>
      <c r="E24" s="31">
        <f t="shared" si="0"/>
        <v>1639.3530982155403</v>
      </c>
      <c r="F24" s="6">
        <f t="shared" si="1"/>
        <v>2.2877849424963338E-3</v>
      </c>
      <c r="G24" s="14">
        <f t="shared" si="2"/>
        <v>4869.4472997810344</v>
      </c>
      <c r="H24" s="10">
        <f t="shared" si="3"/>
        <v>0.64607234971222427</v>
      </c>
    </row>
    <row r="25" spans="2:8" x14ac:dyDescent="0.25">
      <c r="B25" s="20" t="str">
        <f>+'County Data'!$B$21</f>
        <v>Grant</v>
      </c>
      <c r="C25" s="15">
        <f>VLOOKUP($B25,'County Data'!$B$10:$L$46,2,FALSE)</f>
        <v>7226</v>
      </c>
      <c r="D25" s="29">
        <f>VLOOKUP($B25,'County Data'!$B$10:$L$46,7,FALSE)</f>
        <v>0.2475177304964539</v>
      </c>
      <c r="E25" s="31">
        <f t="shared" si="0"/>
        <v>1788.5631205673758</v>
      </c>
      <c r="F25" s="6">
        <f t="shared" si="1"/>
        <v>2.4960136900295201E-3</v>
      </c>
      <c r="G25" s="14">
        <f t="shared" si="2"/>
        <v>5312.6528186117821</v>
      </c>
      <c r="H25" s="10">
        <f t="shared" si="3"/>
        <v>0.73521350935673713</v>
      </c>
    </row>
    <row r="26" spans="2:8" x14ac:dyDescent="0.25">
      <c r="B26" s="20" t="str">
        <f>+'County Data'!$B$19</f>
        <v>Douglas</v>
      </c>
      <c r="C26" s="15">
        <f>VLOOKUP($B26,'County Data'!$B$10:$L$46,2,FALSE)</f>
        <v>111694</v>
      </c>
      <c r="D26" s="29">
        <f>VLOOKUP($B26,'County Data'!$B$10:$L$46,7,FALSE)</f>
        <v>0.24295320560058953</v>
      </c>
      <c r="E26" s="31">
        <f t="shared" si="0"/>
        <v>27136.415346352245</v>
      </c>
      <c r="F26" s="6">
        <f t="shared" si="1"/>
        <v>3.7869988161969848E-2</v>
      </c>
      <c r="G26" s="14">
        <f t="shared" si="2"/>
        <v>80604.565653285536</v>
      </c>
      <c r="H26" s="10">
        <f t="shared" si="3"/>
        <v>0.72165528724269468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223827</v>
      </c>
      <c r="D27" s="29">
        <f>VLOOKUP($B27,'County Data'!$B$10:$L$46,7,FALSE)</f>
        <v>0.23906604501578002</v>
      </c>
      <c r="E27" s="31">
        <f t="shared" si="0"/>
        <v>53509.435657746995</v>
      </c>
      <c r="F27" s="6">
        <f t="shared" si="1"/>
        <v>7.467462702972523E-2</v>
      </c>
      <c r="G27" s="14">
        <f t="shared" si="2"/>
        <v>158941.58327455382</v>
      </c>
      <c r="H27" s="10">
        <f t="shared" si="3"/>
        <v>0.71010907207152762</v>
      </c>
    </row>
    <row r="28" spans="2:8" x14ac:dyDescent="0.25">
      <c r="B28" s="20" t="str">
        <f>+'County Data'!$B$33</f>
        <v>Marion</v>
      </c>
      <c r="C28" s="15">
        <f>VLOOKUP($B28,'County Data'!$B$10:$L$46,2,FALSE)</f>
        <v>347182</v>
      </c>
      <c r="D28" s="29">
        <f>VLOOKUP($B28,'County Data'!$B$10:$L$46,7,FALSE)</f>
        <v>0.24804193168151548</v>
      </c>
      <c r="E28" s="31">
        <f t="shared" si="0"/>
        <v>86115.693925051906</v>
      </c>
      <c r="F28" s="6">
        <f t="shared" si="1"/>
        <v>0.12017800685453889</v>
      </c>
      <c r="G28" s="14">
        <f t="shared" si="2"/>
        <v>255793.47957957757</v>
      </c>
      <c r="H28" s="10">
        <f t="shared" si="3"/>
        <v>0.73677056869186064</v>
      </c>
    </row>
    <row r="29" spans="2:8" x14ac:dyDescent="0.25">
      <c r="B29" s="20" t="str">
        <f>+'County Data'!$B$40</f>
        <v>Umatilla</v>
      </c>
      <c r="C29" s="15">
        <f>VLOOKUP($B29,'County Data'!$B$10:$L$46,2,FALSE)</f>
        <v>80463</v>
      </c>
      <c r="D29" s="29">
        <f>VLOOKUP($B29,'County Data'!$B$10:$L$46,7,FALSE)</f>
        <v>0.25478740222426899</v>
      </c>
      <c r="E29" s="31">
        <f t="shared" si="0"/>
        <v>20500.958745171356</v>
      </c>
      <c r="F29" s="6">
        <f t="shared" si="1"/>
        <v>2.860993447659009E-2</v>
      </c>
      <c r="G29" s="14">
        <f t="shared" si="2"/>
        <v>60894.958086370563</v>
      </c>
      <c r="H29" s="10">
        <f t="shared" si="3"/>
        <v>0.75680695582280755</v>
      </c>
    </row>
    <row r="30" spans="2:8" x14ac:dyDescent="0.25">
      <c r="B30" s="20" t="str">
        <f>+'County Data'!$B$30</f>
        <v>Lincoln</v>
      </c>
      <c r="C30" s="15">
        <f>VLOOKUP($B30,'County Data'!$B$10:$L$46,2,FALSE)</f>
        <v>50903</v>
      </c>
      <c r="D30" s="29">
        <f>VLOOKUP($B30,'County Data'!$B$10:$L$46,7,FALSE)</f>
        <v>0.25276237420414871</v>
      </c>
      <c r="E30" s="31">
        <f t="shared" si="0"/>
        <v>12866.363134113783</v>
      </c>
      <c r="F30" s="6">
        <f t="shared" si="1"/>
        <v>1.7955541045401622E-2</v>
      </c>
      <c r="G30" s="14">
        <f t="shared" si="2"/>
        <v>38217.561115790311</v>
      </c>
      <c r="H30" s="10">
        <f t="shared" si="3"/>
        <v>0.75079192023633801</v>
      </c>
    </row>
    <row r="31" spans="2:8" x14ac:dyDescent="0.25">
      <c r="B31" s="20" t="str">
        <f>+'County Data'!$B$11</f>
        <v>Benton</v>
      </c>
      <c r="C31" s="15">
        <f>VLOOKUP($B31,'County Data'!$B$10:$L$46,2,FALSE)</f>
        <v>93976</v>
      </c>
      <c r="D31" s="29">
        <f>VLOOKUP($B31,'County Data'!$B$10:$L$46,7,FALSE)</f>
        <v>0.25448762433495259</v>
      </c>
      <c r="E31" s="31">
        <f t="shared" si="0"/>
        <v>23915.728984501504</v>
      </c>
      <c r="F31" s="6">
        <f t="shared" si="1"/>
        <v>3.3375387351951641E-2</v>
      </c>
      <c r="G31" s="14">
        <f t="shared" si="2"/>
        <v>71038.010086198236</v>
      </c>
      <c r="H31" s="10">
        <f t="shared" si="3"/>
        <v>0.75591651151568739</v>
      </c>
    </row>
    <row r="32" spans="2:8" x14ac:dyDescent="0.25">
      <c r="B32" s="20" t="str">
        <f>+'County Data'!$B$29</f>
        <v>Lane</v>
      </c>
      <c r="C32" s="15">
        <f>VLOOKUP($B32,'County Data'!$B$10:$L$46,2,FALSE)</f>
        <v>382647</v>
      </c>
      <c r="D32" s="29">
        <f>VLOOKUP($B32,'County Data'!$B$10:$L$46,7,FALSE)</f>
        <v>0.2651164800968146</v>
      </c>
      <c r="E32" s="31">
        <f t="shared" si="0"/>
        <v>101446.02575960582</v>
      </c>
      <c r="F32" s="6">
        <f t="shared" si="1"/>
        <v>0.14157211796625824</v>
      </c>
      <c r="G32" s="14">
        <f t="shared" si="2"/>
        <v>301329.88234587217</v>
      </c>
      <c r="H32" s="10">
        <f t="shared" si="3"/>
        <v>0.78748789967221011</v>
      </c>
    </row>
    <row r="33" spans="2:8" x14ac:dyDescent="0.25">
      <c r="B33" s="20" t="str">
        <f>+'County Data'!$B$16</f>
        <v>Crook</v>
      </c>
      <c r="C33" s="15">
        <f>VLOOKUP($B33,'County Data'!$B$10:$L$46,2,FALSE)</f>
        <v>25482</v>
      </c>
      <c r="D33" s="29">
        <f>VLOOKUP($B33,'County Data'!$B$10:$L$46,7,FALSE)</f>
        <v>0.20635055038103303</v>
      </c>
      <c r="E33" s="31">
        <f t="shared" si="0"/>
        <v>5258.2247248094836</v>
      </c>
      <c r="F33" s="6">
        <f t="shared" si="1"/>
        <v>7.3380697317591646E-3</v>
      </c>
      <c r="G33" s="14">
        <f t="shared" si="2"/>
        <v>15618.751210911452</v>
      </c>
      <c r="H33" s="10">
        <f t="shared" si="3"/>
        <v>0.61293270586733584</v>
      </c>
    </row>
    <row r="34" spans="2:8" x14ac:dyDescent="0.25">
      <c r="B34" s="20" t="str">
        <f>+'County Data'!$B$25</f>
        <v>Jefferson</v>
      </c>
      <c r="C34" s="15">
        <f>VLOOKUP($B34,'County Data'!$B$10:$L$46,2,FALSE)</f>
        <v>24889</v>
      </c>
      <c r="D34" s="29">
        <f>VLOOKUP($B34,'County Data'!$B$10:$L$46,7,FALSE)</f>
        <v>0.24980198891137903</v>
      </c>
      <c r="E34" s="31">
        <f t="shared" si="0"/>
        <v>6217.3217020153124</v>
      </c>
      <c r="F34" s="6">
        <f t="shared" si="1"/>
        <v>8.6765291675168863E-3</v>
      </c>
      <c r="G34" s="14">
        <f t="shared" si="2"/>
        <v>18467.601889247155</v>
      </c>
      <c r="H34" s="10">
        <f t="shared" si="3"/>
        <v>0.74199854912801455</v>
      </c>
    </row>
    <row r="35" spans="2:8" x14ac:dyDescent="0.25">
      <c r="B35" s="20" t="str">
        <f>+'County Data'!$B$15</f>
        <v>Coos</v>
      </c>
      <c r="C35" s="15">
        <f>VLOOKUP($B35,'County Data'!$B$10:$L$46,2,FALSE)</f>
        <v>65154</v>
      </c>
      <c r="D35" s="29">
        <f>VLOOKUP($B35,'County Data'!$B$10:$L$46,7,FALSE)</f>
        <v>0.27354828487681215</v>
      </c>
      <c r="E35" s="31">
        <f t="shared" si="0"/>
        <v>17822.764952863818</v>
      </c>
      <c r="F35" s="6">
        <f t="shared" si="1"/>
        <v>2.4872404448557806E-2</v>
      </c>
      <c r="G35" s="14">
        <f t="shared" si="2"/>
        <v>52939.793610555105</v>
      </c>
      <c r="H35" s="10">
        <f t="shared" si="3"/>
        <v>0.81253328438092987</v>
      </c>
    </row>
    <row r="36" spans="2:8" x14ac:dyDescent="0.25">
      <c r="B36" s="20" t="str">
        <f>+'County Data'!$B$27</f>
        <v>Klamath</v>
      </c>
      <c r="C36" s="15">
        <f>VLOOKUP($B36,'County Data'!$B$10:$L$46,2,FALSE)</f>
        <v>69822</v>
      </c>
      <c r="D36" s="29">
        <f>VLOOKUP($B36,'County Data'!$B$10:$L$46,7,FALSE)</f>
        <v>0.31251127548259067</v>
      </c>
      <c r="E36" s="31">
        <f t="shared" si="0"/>
        <v>21820.162276745446</v>
      </c>
      <c r="F36" s="6">
        <f t="shared" si="1"/>
        <v>3.0450937478877019E-2</v>
      </c>
      <c r="G36" s="14">
        <f t="shared" si="2"/>
        <v>64813.450131603182</v>
      </c>
      <c r="H36" s="10">
        <f t="shared" si="3"/>
        <v>0.92826688051907968</v>
      </c>
    </row>
    <row r="37" spans="2:8" x14ac:dyDescent="0.25">
      <c r="B37" s="20" t="str">
        <f>'County Data'!$B$45</f>
        <v>Wheeler</v>
      </c>
      <c r="C37" s="15">
        <f>VLOOKUP($B37,'County Data'!$B$10:$L$46,2,FALSE)</f>
        <v>1456</v>
      </c>
      <c r="D37" s="29">
        <f>VLOOKUP($B37,'County Data'!$B$10:$L$46,7,FALSE)</f>
        <v>0.27734095782701929</v>
      </c>
      <c r="E37" s="31">
        <f t="shared" si="0"/>
        <v>403.8084345961401</v>
      </c>
      <c r="F37" s="6">
        <f t="shared" si="1"/>
        <v>5.6353134497239433E-4</v>
      </c>
      <c r="G37" s="14">
        <f t="shared" si="2"/>
        <v>1199.4511088632175</v>
      </c>
      <c r="H37" s="10">
        <f t="shared" si="3"/>
        <v>0.82379883850495705</v>
      </c>
    </row>
    <row r="38" spans="2:8" x14ac:dyDescent="0.25">
      <c r="B38" s="20" t="str">
        <f>+'County Data'!$B$41</f>
        <v>Union</v>
      </c>
      <c r="C38" s="15">
        <f>VLOOKUP($B38,'County Data'!$B$10:$L$46,2,FALSE)</f>
        <v>26295</v>
      </c>
      <c r="D38" s="29">
        <f>VLOOKUP($B38,'County Data'!$B$10:$L$46,7,FALSE)</f>
        <v>0.25401567471094899</v>
      </c>
      <c r="E38" s="31">
        <f t="shared" si="0"/>
        <v>6679.3421665244041</v>
      </c>
      <c r="F38" s="6">
        <f t="shared" si="1"/>
        <v>9.3212978039867393E-3</v>
      </c>
      <c r="G38" s="14">
        <f t="shared" si="2"/>
        <v>19839.962917384593</v>
      </c>
      <c r="H38" s="10">
        <f t="shared" si="3"/>
        <v>0.75451465743999213</v>
      </c>
    </row>
    <row r="39" spans="2:8" x14ac:dyDescent="0.25">
      <c r="B39" s="20" t="str">
        <f>+'County Data'!$B$28</f>
        <v>Lake</v>
      </c>
      <c r="C39" s="15">
        <f>VLOOKUP($B39,'County Data'!$B$10:$L$46,2,FALSE)</f>
        <v>8177</v>
      </c>
      <c r="D39" s="29">
        <f>VLOOKUP($B39,'County Data'!$B$10:$L$46,7,FALSE)</f>
        <v>0.29834631679650131</v>
      </c>
      <c r="E39" s="31">
        <f t="shared" si="0"/>
        <v>2439.5778324449911</v>
      </c>
      <c r="F39" s="6">
        <f t="shared" si="1"/>
        <v>3.4045316028564832E-3</v>
      </c>
      <c r="G39" s="14">
        <f t="shared" si="2"/>
        <v>7246.3923127578955</v>
      </c>
      <c r="H39" s="10">
        <f t="shared" si="3"/>
        <v>0.88619204020519693</v>
      </c>
    </row>
    <row r="40" spans="2:8" x14ac:dyDescent="0.25">
      <c r="B40" s="20" t="str">
        <f>+'County Data'!$B$26</f>
        <v>Josephine</v>
      </c>
      <c r="C40" s="15">
        <f>VLOOKUP($B40,'County Data'!$B$10:$L$46,2,FALSE)</f>
        <v>88728</v>
      </c>
      <c r="D40" s="29">
        <f>VLOOKUP($B40,'County Data'!$B$10:$L$46,7,FALSE)</f>
        <v>0.31156318165381608</v>
      </c>
      <c r="E40" s="31">
        <f t="shared" si="0"/>
        <v>27644.377981779791</v>
      </c>
      <c r="F40" s="6">
        <f t="shared" si="1"/>
        <v>3.8578870995050085E-2</v>
      </c>
      <c r="G40" s="14">
        <f t="shared" si="2"/>
        <v>82113.390863769324</v>
      </c>
      <c r="H40" s="10">
        <f t="shared" si="3"/>
        <v>0.92545071300794923</v>
      </c>
    </row>
    <row r="41" spans="2:8" x14ac:dyDescent="0.25">
      <c r="B41" s="20" t="str">
        <f>+'County Data'!$B$32</f>
        <v>Malheur</v>
      </c>
      <c r="C41" s="15">
        <f>VLOOKUP($B41,'County Data'!$B$10:$L$46,2,FALSE)</f>
        <v>31995</v>
      </c>
      <c r="D41" s="29">
        <f>VLOOKUP($B41,'County Data'!$B$10:$L$46,7,FALSE)</f>
        <v>0.34839166573483915</v>
      </c>
      <c r="E41" s="31">
        <f t="shared" si="0"/>
        <v>11146.791345186179</v>
      </c>
      <c r="F41" s="6">
        <f t="shared" si="1"/>
        <v>1.5555807607539893E-2</v>
      </c>
      <c r="G41" s="14">
        <f t="shared" si="2"/>
        <v>33109.836481306324</v>
      </c>
      <c r="H41" s="10">
        <f t="shared" si="3"/>
        <v>1.0348440844290145</v>
      </c>
    </row>
    <row r="42" spans="2:8" x14ac:dyDescent="0.25">
      <c r="B42" s="4" t="s">
        <v>2</v>
      </c>
      <c r="C42" s="5">
        <f>SUM(C7:C41)</f>
        <v>3445888</v>
      </c>
      <c r="D42" s="5"/>
      <c r="E42" s="5">
        <f>SUM(E7:E41)</f>
        <v>716567.83282555733</v>
      </c>
      <c r="F42" s="8">
        <f>SUM(F7:F41)</f>
        <v>1</v>
      </c>
      <c r="G42" s="11">
        <f>SUM(G7:G41)</f>
        <v>2128455</v>
      </c>
      <c r="H42" s="12">
        <f t="shared" ref="H42" si="8">G42/C42</f>
        <v>0.61767968082537794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2"/>
  <sheetViews>
    <sheetView topLeftCell="A4"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14500000</v>
      </c>
    </row>
    <row r="4" spans="2:8" x14ac:dyDescent="0.25">
      <c r="B4" t="s">
        <v>41</v>
      </c>
      <c r="C4" s="14">
        <f>'County Data'!J9</f>
        <v>2128455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Data'!$B$11</f>
        <v>Benton</v>
      </c>
      <c r="C7" s="15">
        <f>VLOOKUP($B7,'County Data'!$B$10:$L$46,2,FALSE)</f>
        <v>93976</v>
      </c>
      <c r="D7" s="29">
        <f>VLOOKUP($B7,'County Data'!$B$10:$L$46,9,FALSE)</f>
        <v>3.8250685272863197E-2</v>
      </c>
      <c r="E7" s="31">
        <f t="shared" ref="E7:E41" si="0">C7*D7</f>
        <v>3594.646399202592</v>
      </c>
      <c r="F7" s="6">
        <f t="shared" ref="F7:F41" si="1">E7/$E$42</f>
        <v>1.1456613823601271E-2</v>
      </c>
      <c r="G7" s="14">
        <f t="shared" ref="G7:G41" si="2">$C$4*F7</f>
        <v>24384.886975913243</v>
      </c>
      <c r="H7" s="10">
        <f t="shared" ref="H7:H41" si="3">G7/C7</f>
        <v>0.25947994143093178</v>
      </c>
    </row>
    <row r="8" spans="2:8" x14ac:dyDescent="0.25">
      <c r="B8" s="20" t="s">
        <v>89</v>
      </c>
      <c r="C8" s="15">
        <v>2039</v>
      </c>
      <c r="D8" s="29">
        <v>6.4693737095664144E-2</v>
      </c>
      <c r="E8" s="31">
        <f t="shared" ref="E8" si="4">C8*D8</f>
        <v>131.9105299380592</v>
      </c>
      <c r="F8" s="6">
        <f t="shared" ref="F8" si="5">E8/$E$42</f>
        <v>4.2041631719386412E-4</v>
      </c>
      <c r="G8" s="14">
        <f t="shared" ref="G8" si="6">$C$4*F8</f>
        <v>894.83721241286605</v>
      </c>
      <c r="H8" s="10">
        <f t="shared" ref="H8" si="7">G8/C8</f>
        <v>0.43886082021229328</v>
      </c>
    </row>
    <row r="9" spans="2:8" x14ac:dyDescent="0.25">
      <c r="B9" s="20" t="str">
        <f>+'County Data'!$B$12</f>
        <v>Clackamas</v>
      </c>
      <c r="C9" s="15">
        <f>VLOOKUP($B9,'County Data'!$B$10:$L$46,2,FALSE)</f>
        <v>425316</v>
      </c>
      <c r="D9" s="29">
        <f>VLOOKUP($B9,'County Data'!$B$10:$L$46,9,FALSE)</f>
        <v>6.2976004128906082E-2</v>
      </c>
      <c r="E9" s="31">
        <f t="shared" si="0"/>
        <v>26784.702172089819</v>
      </c>
      <c r="F9" s="6">
        <f t="shared" si="1"/>
        <v>8.536639076207303E-2</v>
      </c>
      <c r="G9" s="14">
        <f t="shared" si="2"/>
        <v>181698.52124948814</v>
      </c>
      <c r="H9" s="10">
        <f t="shared" si="3"/>
        <v>0.42720829042285768</v>
      </c>
    </row>
    <row r="10" spans="2:8" x14ac:dyDescent="0.25">
      <c r="B10" s="20" t="str">
        <f>+'County Data'!$B$42</f>
        <v>Wallowa</v>
      </c>
      <c r="C10" s="15">
        <f>VLOOKUP($B10,'County Data'!$B$10:$L$46,2,FALSE)</f>
        <v>7433</v>
      </c>
      <c r="D10" s="29">
        <f>VLOOKUP($B10,'County Data'!$B$10:$L$46,9,FALSE)</f>
        <v>5.7384587088467907E-2</v>
      </c>
      <c r="E10" s="31">
        <f t="shared" si="0"/>
        <v>426.53963582858194</v>
      </c>
      <c r="F10" s="6">
        <f t="shared" si="1"/>
        <v>1.3594382716563195E-3</v>
      </c>
      <c r="G10" s="14">
        <f t="shared" si="2"/>
        <v>2893.5031864982516</v>
      </c>
      <c r="H10" s="10">
        <f t="shared" si="3"/>
        <v>0.38927797477441833</v>
      </c>
    </row>
    <row r="11" spans="2:8" x14ac:dyDescent="0.25">
      <c r="B11" s="20" t="str">
        <f>+'County Data'!$B$18</f>
        <v>Deschutes</v>
      </c>
      <c r="C11" s="15">
        <f>VLOOKUP($B11,'County Data'!$B$10:$L$46,2,FALSE)</f>
        <v>203390</v>
      </c>
      <c r="D11" s="29">
        <f>VLOOKUP($B11,'County Data'!$B$10:$L$46,9,FALSE)</f>
        <v>6.2099616202257131E-2</v>
      </c>
      <c r="E11" s="31">
        <f t="shared" si="0"/>
        <v>12630.440939377078</v>
      </c>
      <c r="F11" s="6">
        <f t="shared" si="1"/>
        <v>4.0254886905245098E-2</v>
      </c>
      <c r="G11" s="14">
        <f t="shared" si="2"/>
        <v>85680.715307903462</v>
      </c>
      <c r="H11" s="10">
        <f t="shared" si="3"/>
        <v>0.42126316587788715</v>
      </c>
    </row>
    <row r="12" spans="2:8" x14ac:dyDescent="0.25">
      <c r="B12" s="20" t="str">
        <f>+'County Data'!$B$41</f>
        <v>Union</v>
      </c>
      <c r="C12" s="15">
        <f>VLOOKUP($B12,'County Data'!$B$10:$L$46,2,FALSE)</f>
        <v>26295</v>
      </c>
      <c r="D12" s="29">
        <f>VLOOKUP($B12,'County Data'!$B$10:$L$46,9,FALSE)</f>
        <v>7.141241660070112E-2</v>
      </c>
      <c r="E12" s="31">
        <f t="shared" si="0"/>
        <v>1877.789494515436</v>
      </c>
      <c r="F12" s="6">
        <f t="shared" si="1"/>
        <v>5.984763643358937E-3</v>
      </c>
      <c r="G12" s="14">
        <f t="shared" si="2"/>
        <v>12738.300100525546</v>
      </c>
      <c r="H12" s="10">
        <f t="shared" si="3"/>
        <v>0.48443810992681297</v>
      </c>
    </row>
    <row r="13" spans="2:8" x14ac:dyDescent="0.25">
      <c r="B13" s="20" t="str">
        <f>+'County Data'!$B$13</f>
        <v>Clatsop</v>
      </c>
      <c r="C13" s="15">
        <f>VLOOKUP($B13,'County Data'!$B$10:$L$46,2,FALSE)</f>
        <v>41428</v>
      </c>
      <c r="D13" s="29">
        <f>VLOOKUP($B13,'County Data'!$B$10:$L$46,9,FALSE)</f>
        <v>7.6423886779426992E-2</v>
      </c>
      <c r="E13" s="31">
        <f t="shared" si="0"/>
        <v>3166.0887814981015</v>
      </c>
      <c r="F13" s="6">
        <f t="shared" si="1"/>
        <v>1.0090743976627714E-2</v>
      </c>
      <c r="G13" s="14">
        <f t="shared" si="2"/>
        <v>21477.694470773142</v>
      </c>
      <c r="H13" s="10">
        <f t="shared" si="3"/>
        <v>0.51843425873257565</v>
      </c>
    </row>
    <row r="14" spans="2:8" x14ac:dyDescent="0.25">
      <c r="B14" s="20" t="str">
        <f>'County Data'!$B$45</f>
        <v>Wheeler</v>
      </c>
      <c r="C14" s="15">
        <f>VLOOKUP($B14,'County Data'!$B$10:$L$46,2,FALSE)</f>
        <v>1456</v>
      </c>
      <c r="D14" s="29">
        <f>VLOOKUP($B14,'County Data'!$B$10:$L$46,9,FALSE)</f>
        <v>6.6968325791855202E-2</v>
      </c>
      <c r="E14" s="31">
        <f t="shared" si="0"/>
        <v>97.505882352941171</v>
      </c>
      <c r="F14" s="6">
        <f t="shared" si="1"/>
        <v>3.1076415190516401E-4</v>
      </c>
      <c r="G14" s="14">
        <f t="shared" si="2"/>
        <v>661.44751294330581</v>
      </c>
      <c r="H14" s="10">
        <f t="shared" si="3"/>
        <v>0.45429087427424847</v>
      </c>
    </row>
    <row r="15" spans="2:8" x14ac:dyDescent="0.25">
      <c r="B15" s="20" t="str">
        <f>+'County Data'!$B$29</f>
        <v>Lane</v>
      </c>
      <c r="C15" s="15">
        <f>VLOOKUP($B15,'County Data'!$B$10:$L$46,2,FALSE)</f>
        <v>382647</v>
      </c>
      <c r="D15" s="29">
        <f>VLOOKUP($B15,'County Data'!$B$10:$L$46,9,FALSE)</f>
        <v>7.5164326090457964E-2</v>
      </c>
      <c r="E15" s="31">
        <f t="shared" si="0"/>
        <v>28761.40388553547</v>
      </c>
      <c r="F15" s="6">
        <f t="shared" si="1"/>
        <v>9.1666400738136727E-2</v>
      </c>
      <c r="G15" s="14">
        <f t="shared" si="2"/>
        <v>195107.8089830908</v>
      </c>
      <c r="H15" s="10">
        <f t="shared" si="3"/>
        <v>0.50988981746385253</v>
      </c>
    </row>
    <row r="16" spans="2:8" x14ac:dyDescent="0.25">
      <c r="B16" s="20" t="str">
        <f>+'County Data'!$B$37</f>
        <v>Polk</v>
      </c>
      <c r="C16" s="15">
        <f>VLOOKUP($B16,'County Data'!$B$10:$L$46,2,FALSE)</f>
        <v>88916</v>
      </c>
      <c r="D16" s="29">
        <f>VLOOKUP($B16,'County Data'!$B$10:$L$46,9,FALSE)</f>
        <v>8.4519197223701367E-2</v>
      </c>
      <c r="E16" s="31">
        <f t="shared" si="0"/>
        <v>7515.1089403426304</v>
      </c>
      <c r="F16" s="6">
        <f t="shared" si="1"/>
        <v>2.3951646813132475E-2</v>
      </c>
      <c r="G16" s="14">
        <f t="shared" si="2"/>
        <v>50980.002417645883</v>
      </c>
      <c r="H16" s="10">
        <f t="shared" si="3"/>
        <v>0.57335015540111889</v>
      </c>
    </row>
    <row r="17" spans="2:8" x14ac:dyDescent="0.25">
      <c r="B17" s="20" t="str">
        <f>+'County Data'!$B$44</f>
        <v>Washington</v>
      </c>
      <c r="C17" s="15">
        <f>VLOOKUP($B17,'County Data'!$B$10:$L$46,2,FALSE)</f>
        <v>605036</v>
      </c>
      <c r="D17" s="29">
        <f>VLOOKUP($B17,'County Data'!$B$10:$L$46,9,FALSE)</f>
        <v>7.3872716790846005E-2</v>
      </c>
      <c r="E17" s="31">
        <f t="shared" si="0"/>
        <v>44695.653076266302</v>
      </c>
      <c r="F17" s="6">
        <f t="shared" si="1"/>
        <v>0.14245096179753056</v>
      </c>
      <c r="G17" s="14">
        <f t="shared" si="2"/>
        <v>303200.46189276292</v>
      </c>
      <c r="H17" s="10">
        <f t="shared" si="3"/>
        <v>0.5011279690675644</v>
      </c>
    </row>
    <row r="18" spans="2:8" x14ac:dyDescent="0.25">
      <c r="B18" s="20" t="str">
        <f>+'County Data'!$B$35</f>
        <v>Multnomah</v>
      </c>
      <c r="C18" s="15">
        <f>VLOOKUP($B18,'County Data'!$B$10:$L$46,2,FALSE)</f>
        <v>0</v>
      </c>
      <c r="D18" s="29">
        <f>VLOOKUP($B18,'County Data'!$B$10:$L$46,9,FALSE)</f>
        <v>8.0253886289064602E-2</v>
      </c>
      <c r="E18" s="31">
        <f t="shared" si="0"/>
        <v>0</v>
      </c>
      <c r="F18" s="6">
        <f t="shared" si="1"/>
        <v>0</v>
      </c>
      <c r="G18" s="14">
        <f t="shared" si="2"/>
        <v>0</v>
      </c>
      <c r="H18" s="10" t="e">
        <f t="shared" si="3"/>
        <v>#DIV/0!</v>
      </c>
    </row>
    <row r="19" spans="2:8" x14ac:dyDescent="0.25">
      <c r="B19" s="20" t="str">
        <f>+'County Data'!$B$10</f>
        <v>Baker</v>
      </c>
      <c r="C19" s="15">
        <f>VLOOKUP($B19,'County Data'!$B$10:$L$46,2,FALSE)</f>
        <v>16860</v>
      </c>
      <c r="D19" s="29">
        <f>VLOOKUP($B19,'County Data'!$B$10:$L$46,9,FALSE)</f>
        <v>8.7799600532623173E-2</v>
      </c>
      <c r="E19" s="31">
        <f t="shared" si="0"/>
        <v>1480.3012649800266</v>
      </c>
      <c r="F19" s="6">
        <f t="shared" si="1"/>
        <v>4.7179160484955426E-3</v>
      </c>
      <c r="G19" s="14">
        <f t="shared" si="2"/>
        <v>10041.872003000581</v>
      </c>
      <c r="H19" s="10">
        <f t="shared" si="3"/>
        <v>0.5956033216489075</v>
      </c>
    </row>
    <row r="20" spans="2:8" x14ac:dyDescent="0.25">
      <c r="B20" s="20" t="str">
        <f>+'County Data'!$B$14</f>
        <v>Columbia</v>
      </c>
      <c r="C20" s="15">
        <f>VLOOKUP($B20,'County Data'!$B$10:$L$46,2,FALSE)</f>
        <v>53014</v>
      </c>
      <c r="D20" s="29">
        <f>VLOOKUP($B20,'County Data'!$B$10:$L$46,9,FALSE)</f>
        <v>9.2404051172707891E-2</v>
      </c>
      <c r="E20" s="31">
        <f t="shared" si="0"/>
        <v>4898.7083688699358</v>
      </c>
      <c r="F20" s="6">
        <f t="shared" si="1"/>
        <v>1.5612831912767926E-2</v>
      </c>
      <c r="G20" s="14">
        <f t="shared" si="2"/>
        <v>33231.210148890459</v>
      </c>
      <c r="H20" s="10">
        <f t="shared" si="3"/>
        <v>0.6268383851226178</v>
      </c>
    </row>
    <row r="21" spans="2:8" x14ac:dyDescent="0.25">
      <c r="B21" s="20" t="str">
        <f>+'County Data'!$B$39</f>
        <v>Tillamook</v>
      </c>
      <c r="C21" s="15">
        <f>VLOOKUP($B21,'County Data'!$B$10:$L$46,2,FALSE)</f>
        <v>27628</v>
      </c>
      <c r="D21" s="29">
        <f>VLOOKUP($B21,'County Data'!$B$10:$L$46,9,FALSE)</f>
        <v>9.701343952215033E-2</v>
      </c>
      <c r="E21" s="31">
        <f t="shared" si="0"/>
        <v>2680.2873071179692</v>
      </c>
      <c r="F21" s="6">
        <f t="shared" si="1"/>
        <v>8.5424303822380296E-3</v>
      </c>
      <c r="G21" s="14">
        <f t="shared" si="2"/>
        <v>18182.178659226447</v>
      </c>
      <c r="H21" s="10">
        <f t="shared" si="3"/>
        <v>0.65810694437622874</v>
      </c>
    </row>
    <row r="22" spans="2:8" x14ac:dyDescent="0.25">
      <c r="B22" s="20" t="str">
        <f>+'County Data'!$B$17</f>
        <v>Curry</v>
      </c>
      <c r="C22" s="15">
        <f>VLOOKUP($B22,'County Data'!$B$10:$L$46,2,FALSE)</f>
        <v>23662</v>
      </c>
      <c r="D22" s="29">
        <f>VLOOKUP($B22,'County Data'!$B$10:$L$46,9,FALSE)</f>
        <v>7.9388823592264124E-2</v>
      </c>
      <c r="E22" s="31">
        <f t="shared" si="0"/>
        <v>1878.4983438401537</v>
      </c>
      <c r="F22" s="6">
        <f t="shared" si="1"/>
        <v>5.9870228399726043E-3</v>
      </c>
      <c r="G22" s="14">
        <f t="shared" si="2"/>
        <v>12743.10869885389</v>
      </c>
      <c r="H22" s="10">
        <f t="shared" si="3"/>
        <v>0.53854740507370003</v>
      </c>
    </row>
    <row r="23" spans="2:8" x14ac:dyDescent="0.25">
      <c r="B23" s="20" t="str">
        <f>+'County Data'!$B$31</f>
        <v>Linn</v>
      </c>
      <c r="C23" s="15">
        <f>VLOOKUP($B23,'County Data'!$B$10:$L$46,2,FALSE)</f>
        <v>130440</v>
      </c>
      <c r="D23" s="29">
        <f>VLOOKUP($B23,'County Data'!$B$10:$L$46,9,FALSE)</f>
        <v>0.10149620870193175</v>
      </c>
      <c r="E23" s="31">
        <f t="shared" si="0"/>
        <v>13239.165463079979</v>
      </c>
      <c r="F23" s="6">
        <f t="shared" si="1"/>
        <v>4.2194972526619925E-2</v>
      </c>
      <c r="G23" s="14">
        <f t="shared" si="2"/>
        <v>89810.10024914681</v>
      </c>
      <c r="H23" s="10">
        <f t="shared" si="3"/>
        <v>0.68851656124767568</v>
      </c>
    </row>
    <row r="24" spans="2:8" x14ac:dyDescent="0.25">
      <c r="B24" s="20" t="str">
        <f>+'County Data'!$B$21</f>
        <v>Grant</v>
      </c>
      <c r="C24" s="15">
        <f>VLOOKUP($B24,'County Data'!$B$10:$L$46,2,FALSE)</f>
        <v>7226</v>
      </c>
      <c r="D24" s="29">
        <f>VLOOKUP($B24,'County Data'!$B$10:$L$46,9,FALSE)</f>
        <v>0.10853964836742017</v>
      </c>
      <c r="E24" s="31">
        <f t="shared" si="0"/>
        <v>784.30749910297811</v>
      </c>
      <c r="F24" s="6">
        <f t="shared" si="1"/>
        <v>2.4996918022786876E-3</v>
      </c>
      <c r="G24" s="14">
        <f t="shared" si="2"/>
        <v>5320.4815150190843</v>
      </c>
      <c r="H24" s="10">
        <f t="shared" si="3"/>
        <v>0.73629691600042679</v>
      </c>
    </row>
    <row r="25" spans="2:8" x14ac:dyDescent="0.25">
      <c r="B25" s="20" t="str">
        <f>+'County Data'!$B$22</f>
        <v>Harney</v>
      </c>
      <c r="C25" s="15">
        <f>VLOOKUP($B25,'County Data'!$B$10:$L$46,2,FALSE)</f>
        <v>7537</v>
      </c>
      <c r="D25" s="29">
        <f>VLOOKUP($B25,'County Data'!$B$10:$L$46,9,FALSE)</f>
        <v>8.4425308873081237E-2</v>
      </c>
      <c r="E25" s="31">
        <f t="shared" si="0"/>
        <v>636.31355297641323</v>
      </c>
      <c r="F25" s="6">
        <f t="shared" si="1"/>
        <v>2.0280155090613562E-3</v>
      </c>
      <c r="G25" s="14">
        <f t="shared" si="2"/>
        <v>4316.5397503391887</v>
      </c>
      <c r="H25" s="10">
        <f t="shared" si="3"/>
        <v>0.57271324802165169</v>
      </c>
    </row>
    <row r="26" spans="2:8" x14ac:dyDescent="0.25">
      <c r="B26" s="20" t="str">
        <f>+'County Data'!$B$30</f>
        <v>Lincoln</v>
      </c>
      <c r="C26" s="15">
        <f>VLOOKUP($B26,'County Data'!$B$10:$L$46,2,FALSE)</f>
        <v>50903</v>
      </c>
      <c r="D26" s="29">
        <f>VLOOKUP($B26,'County Data'!$B$10:$L$46,9,FALSE)</f>
        <v>7.749783708675248E-2</v>
      </c>
      <c r="E26" s="31">
        <f t="shared" si="0"/>
        <v>3944.8724012269613</v>
      </c>
      <c r="F26" s="6">
        <f t="shared" si="1"/>
        <v>1.257283044425889E-2</v>
      </c>
      <c r="G26" s="14">
        <f t="shared" si="2"/>
        <v>26760.703823235057</v>
      </c>
      <c r="H26" s="10">
        <f t="shared" si="3"/>
        <v>0.52571958083482417</v>
      </c>
    </row>
    <row r="27" spans="2:8" x14ac:dyDescent="0.25">
      <c r="B27" s="20" t="str">
        <f>+'County Data'!$B$19</f>
        <v>Douglas</v>
      </c>
      <c r="C27" s="15">
        <f>VLOOKUP($B27,'County Data'!$B$10:$L$46,2,FALSE)</f>
        <v>111694</v>
      </c>
      <c r="D27" s="29">
        <f>VLOOKUP($B27,'County Data'!$B$10:$L$46,9,FALSE)</f>
        <v>9.4653694012432121E-2</v>
      </c>
      <c r="E27" s="31">
        <f t="shared" si="0"/>
        <v>10572.249699024593</v>
      </c>
      <c r="F27" s="6">
        <f t="shared" si="1"/>
        <v>3.3695159021838235E-2</v>
      </c>
      <c r="G27" s="14">
        <f t="shared" si="2"/>
        <v>71718.629695826705</v>
      </c>
      <c r="H27" s="10">
        <f t="shared" si="3"/>
        <v>0.64209921478169552</v>
      </c>
    </row>
    <row r="28" spans="2:8" x14ac:dyDescent="0.25">
      <c r="B28" s="20" t="str">
        <f>+'County Data'!$B$24</f>
        <v>Jackson</v>
      </c>
      <c r="C28" s="15">
        <f>VLOOKUP($B28,'County Data'!$B$10:$L$46,2,FALSE)</f>
        <v>223827</v>
      </c>
      <c r="D28" s="29">
        <f>VLOOKUP($B28,'County Data'!$B$10:$L$46,9,FALSE)</f>
        <v>9.5721057487354058E-2</v>
      </c>
      <c r="E28" s="31">
        <f t="shared" si="0"/>
        <v>21424.957134221997</v>
      </c>
      <c r="F28" s="6">
        <f t="shared" si="1"/>
        <v>6.828417396727611E-2</v>
      </c>
      <c r="G28" s="14">
        <f t="shared" si="2"/>
        <v>145339.79150151866</v>
      </c>
      <c r="H28" s="10">
        <f t="shared" si="3"/>
        <v>0.64933985400116456</v>
      </c>
    </row>
    <row r="29" spans="2:8" x14ac:dyDescent="0.25">
      <c r="B29" s="20" t="str">
        <f>+'County Data'!$B$15</f>
        <v>Coos</v>
      </c>
      <c r="C29" s="15">
        <f>VLOOKUP($B29,'County Data'!$B$10:$L$46,2,FALSE)</f>
        <v>65154</v>
      </c>
      <c r="D29" s="29">
        <f>VLOOKUP($B29,'County Data'!$B$10:$L$46,9,FALSE)</f>
        <v>0.10043468313886983</v>
      </c>
      <c r="E29" s="31">
        <f t="shared" si="0"/>
        <v>6543.7213452299247</v>
      </c>
      <c r="F29" s="6">
        <f t="shared" si="1"/>
        <v>2.0855705984929803E-2</v>
      </c>
      <c r="G29" s="14">
        <f t="shared" si="2"/>
        <v>44390.431682153765</v>
      </c>
      <c r="H29" s="10">
        <f t="shared" si="3"/>
        <v>0.68131552448282173</v>
      </c>
    </row>
    <row r="30" spans="2:8" x14ac:dyDescent="0.25">
      <c r="B30" s="20" t="str">
        <f>+'County Data'!$B$26</f>
        <v>Josephine</v>
      </c>
      <c r="C30" s="15">
        <f>VLOOKUP($B30,'County Data'!$B$10:$L$46,2,FALSE)</f>
        <v>88728</v>
      </c>
      <c r="D30" s="29">
        <f>VLOOKUP($B30,'County Data'!$B$10:$L$46,9,FALSE)</f>
        <v>9.1855972801730801E-2</v>
      </c>
      <c r="E30" s="31">
        <f t="shared" si="0"/>
        <v>8150.1967547519707</v>
      </c>
      <c r="F30" s="6">
        <f t="shared" si="1"/>
        <v>2.5975755731154789E-2</v>
      </c>
      <c r="G30" s="14">
        <f t="shared" si="2"/>
        <v>55288.227164755066</v>
      </c>
      <c r="H30" s="10">
        <f t="shared" si="3"/>
        <v>0.62312040353389087</v>
      </c>
    </row>
    <row r="31" spans="2:8" x14ac:dyDescent="0.25">
      <c r="B31" s="20" t="str">
        <f>+'County Data'!$B$46</f>
        <v>Yamhill</v>
      </c>
      <c r="C31" s="15">
        <f>VLOOKUP($B31,'County Data'!$B$10:$L$46,2,FALSE)</f>
        <v>108261</v>
      </c>
      <c r="D31" s="29">
        <f>VLOOKUP($B31,'County Data'!$B$10:$L$46,9,FALSE)</f>
        <v>0.10362340072272683</v>
      </c>
      <c r="E31" s="31">
        <f t="shared" si="0"/>
        <v>11218.372985643129</v>
      </c>
      <c r="F31" s="6">
        <f t="shared" si="1"/>
        <v>3.575443945032953E-2</v>
      </c>
      <c r="G31" s="14">
        <f t="shared" si="2"/>
        <v>76101.715420251145</v>
      </c>
      <c r="H31" s="10">
        <f t="shared" si="3"/>
        <v>0.70294672523116486</v>
      </c>
    </row>
    <row r="32" spans="2:8" x14ac:dyDescent="0.25">
      <c r="B32" s="20" t="str">
        <f>+'County Data'!$B$27</f>
        <v>Klamath</v>
      </c>
      <c r="C32" s="15">
        <f>VLOOKUP($B32,'County Data'!$B$10:$L$46,2,FALSE)</f>
        <v>69822</v>
      </c>
      <c r="D32" s="29">
        <f>VLOOKUP($B32,'County Data'!$B$10:$L$46,9,FALSE)</f>
        <v>0.12322683840552258</v>
      </c>
      <c r="E32" s="31">
        <f t="shared" si="0"/>
        <v>8603.944311150397</v>
      </c>
      <c r="F32" s="6">
        <f t="shared" si="1"/>
        <v>2.7421909246619532E-2</v>
      </c>
      <c r="G32" s="14">
        <f t="shared" si="2"/>
        <v>58366.299845513575</v>
      </c>
      <c r="H32" s="10">
        <f t="shared" si="3"/>
        <v>0.83592993391070969</v>
      </c>
    </row>
    <row r="33" spans="2:8" x14ac:dyDescent="0.25">
      <c r="B33" s="20" t="str">
        <f>+'County Data'!$B$16</f>
        <v>Crook</v>
      </c>
      <c r="C33" s="15">
        <f>VLOOKUP($B33,'County Data'!$B$10:$L$46,2,FALSE)</f>
        <v>25482</v>
      </c>
      <c r="D33" s="29">
        <f>VLOOKUP($B33,'County Data'!$B$10:$L$46,9,FALSE)</f>
        <v>0.10712879086254432</v>
      </c>
      <c r="E33" s="31">
        <f t="shared" si="0"/>
        <v>2729.8558487593541</v>
      </c>
      <c r="F33" s="6">
        <f t="shared" si="1"/>
        <v>8.7004118848165359E-3</v>
      </c>
      <c r="G33" s="14">
        <f t="shared" si="2"/>
        <v>18518.435178297179</v>
      </c>
      <c r="H33" s="10">
        <f t="shared" si="3"/>
        <v>0.72672612739569808</v>
      </c>
    </row>
    <row r="34" spans="2:8" x14ac:dyDescent="0.25">
      <c r="B34" s="20" t="str">
        <f>+'County Data'!$B$36</f>
        <v>Sherman, Wasco</v>
      </c>
      <c r="C34" s="15">
        <f>VLOOKUP($B34,'County Data'!$B$10:$L$46,2,FALSE)</f>
        <v>28489</v>
      </c>
      <c r="D34" s="29">
        <f>VLOOKUP($B34,'County Data'!$B$10:$L$46,9,FALSE)</f>
        <v>0.12254876992818214</v>
      </c>
      <c r="E34" s="31">
        <f t="shared" si="0"/>
        <v>3491.2919064839812</v>
      </c>
      <c r="F34" s="6">
        <f t="shared" si="1"/>
        <v>1.1127209376400568E-2</v>
      </c>
      <c r="G34" s="14">
        <f t="shared" si="2"/>
        <v>23683.76443324667</v>
      </c>
      <c r="H34" s="10">
        <f t="shared" si="3"/>
        <v>0.83133014262510685</v>
      </c>
    </row>
    <row r="35" spans="2:8" x14ac:dyDescent="0.25">
      <c r="B35" s="20" t="str">
        <f>+'County Data'!$B$33</f>
        <v>Marion</v>
      </c>
      <c r="C35" s="15">
        <f>VLOOKUP($B35,'County Data'!$B$10:$L$46,2,FALSE)</f>
        <v>347182</v>
      </c>
      <c r="D35" s="29">
        <f>VLOOKUP($B35,'County Data'!$B$10:$L$46,9,FALSE)</f>
        <v>0.14771333758213745</v>
      </c>
      <c r="E35" s="31">
        <f t="shared" si="0"/>
        <v>51283.411968441644</v>
      </c>
      <c r="F35" s="6">
        <f t="shared" si="1"/>
        <v>0.16344702127291891</v>
      </c>
      <c r="G35" s="14">
        <f t="shared" si="2"/>
        <v>347889.62966345059</v>
      </c>
      <c r="H35" s="10">
        <f t="shared" si="3"/>
        <v>1.0020382095369305</v>
      </c>
    </row>
    <row r="36" spans="2:8" x14ac:dyDescent="0.25">
      <c r="B36" s="20" t="str">
        <f>+'County Data'!$B$28</f>
        <v>Lake</v>
      </c>
      <c r="C36" s="15">
        <f>VLOOKUP($B36,'County Data'!$B$10:$L$46,2,FALSE)</f>
        <v>8177</v>
      </c>
      <c r="D36" s="29">
        <f>VLOOKUP($B36,'County Data'!$B$10:$L$46,9,FALSE)</f>
        <v>0.12086258776328987</v>
      </c>
      <c r="E36" s="31">
        <f t="shared" si="0"/>
        <v>988.29338014042128</v>
      </c>
      <c r="F36" s="6">
        <f t="shared" si="1"/>
        <v>3.1498218025567326E-3</v>
      </c>
      <c r="G36" s="14">
        <f t="shared" si="2"/>
        <v>6704.2539647608901</v>
      </c>
      <c r="H36" s="10">
        <f t="shared" si="3"/>
        <v>0.81989164299387185</v>
      </c>
    </row>
    <row r="37" spans="2:8" x14ac:dyDescent="0.25">
      <c r="B37" s="20" t="str">
        <f>+'County Data'!$B$25</f>
        <v>Jefferson</v>
      </c>
      <c r="C37" s="15">
        <f>VLOOKUP($B37,'County Data'!$B$10:$L$46,2,FALSE)</f>
        <v>24889</v>
      </c>
      <c r="D37" s="29">
        <f>VLOOKUP($B37,'County Data'!$B$10:$L$46,9,FALSE)</f>
        <v>0.1169731685257763</v>
      </c>
      <c r="E37" s="31">
        <f t="shared" si="0"/>
        <v>2911.3451914380462</v>
      </c>
      <c r="F37" s="6">
        <f t="shared" si="1"/>
        <v>9.2788424399415856E-3</v>
      </c>
      <c r="G37" s="14">
        <f t="shared" si="2"/>
        <v>19749.598585505868</v>
      </c>
      <c r="H37" s="10">
        <f t="shared" si="3"/>
        <v>0.793507115010883</v>
      </c>
    </row>
    <row r="38" spans="2:8" x14ac:dyDescent="0.25">
      <c r="B38" s="20" t="str">
        <f>+'County Data'!$B$40</f>
        <v>Umatilla</v>
      </c>
      <c r="C38" s="15">
        <f>VLOOKUP($B38,'County Data'!$B$10:$L$46,2,FALSE)</f>
        <v>80463</v>
      </c>
      <c r="D38" s="29">
        <f>VLOOKUP($B38,'County Data'!$B$10:$L$46,9,FALSE)</f>
        <v>0.17000491400491399</v>
      </c>
      <c r="E38" s="31">
        <f t="shared" si="0"/>
        <v>13679.105395577395</v>
      </c>
      <c r="F38" s="6">
        <f t="shared" si="1"/>
        <v>4.3597119317281226E-2</v>
      </c>
      <c r="G38" s="14">
        <f t="shared" si="2"/>
        <v>92794.506596463805</v>
      </c>
      <c r="H38" s="10">
        <f t="shared" si="3"/>
        <v>1.1532568583878777</v>
      </c>
    </row>
    <row r="39" spans="2:8" x14ac:dyDescent="0.25">
      <c r="B39" s="20" t="str">
        <f>+'County Data'!$B$23</f>
        <v>Hood River</v>
      </c>
      <c r="C39" s="15">
        <f>VLOOKUP($B39,'County Data'!$B$10:$L$46,2,FALSE)</f>
        <v>23888</v>
      </c>
      <c r="D39" s="29">
        <f>VLOOKUP($B39,'County Data'!$B$10:$L$46,9,FALSE)</f>
        <v>0.17509433962264151</v>
      </c>
      <c r="E39" s="31">
        <f t="shared" si="0"/>
        <v>4182.65358490566</v>
      </c>
      <c r="F39" s="6">
        <f t="shared" si="1"/>
        <v>1.3330670546843101E-2</v>
      </c>
      <c r="G39" s="14">
        <f t="shared" si="2"/>
        <v>28373.732378780933</v>
      </c>
      <c r="H39" s="10">
        <f t="shared" si="3"/>
        <v>1.1877818309938435</v>
      </c>
    </row>
    <row r="40" spans="2:8" x14ac:dyDescent="0.25">
      <c r="B40" s="20" t="str">
        <f>+'County Data'!$B$32</f>
        <v>Malheur</v>
      </c>
      <c r="C40" s="15">
        <f>VLOOKUP($B40,'County Data'!$B$10:$L$46,2,FALSE)</f>
        <v>31995</v>
      </c>
      <c r="D40" s="29">
        <f>VLOOKUP($B40,'County Data'!$B$10:$L$46,9,FALSE)</f>
        <v>0.18730650154798761</v>
      </c>
      <c r="E40" s="31">
        <f t="shared" si="0"/>
        <v>5992.8715170278638</v>
      </c>
      <c r="F40" s="6">
        <f t="shared" si="1"/>
        <v>1.9100074677798156E-2</v>
      </c>
      <c r="G40" s="14">
        <f t="shared" si="2"/>
        <v>40653.649448332872</v>
      </c>
      <c r="H40" s="10">
        <f t="shared" si="3"/>
        <v>1.2706250804292194</v>
      </c>
    </row>
    <row r="41" spans="2:8" x14ac:dyDescent="0.25">
      <c r="B41" s="20" t="str">
        <f>+'County Data'!$B$34</f>
        <v>Morrow</v>
      </c>
      <c r="C41" s="15">
        <f>VLOOKUP($B41,'County Data'!$B$10:$L$46,2,FALSE)</f>
        <v>12635</v>
      </c>
      <c r="D41" s="29">
        <f>VLOOKUP($B41,'County Data'!$B$10:$L$46,9,FALSE)</f>
        <v>0.21884961884961884</v>
      </c>
      <c r="E41" s="31">
        <f t="shared" si="0"/>
        <v>2765.164934164934</v>
      </c>
      <c r="F41" s="6">
        <f t="shared" si="1"/>
        <v>8.8129466131408631E-3</v>
      </c>
      <c r="G41" s="14">
        <f t="shared" si="2"/>
        <v>18757.960283472734</v>
      </c>
      <c r="H41" s="10">
        <f t="shared" si="3"/>
        <v>1.4846031090995437</v>
      </c>
    </row>
    <row r="42" spans="2:8" x14ac:dyDescent="0.25">
      <c r="B42" s="4" t="s">
        <v>2</v>
      </c>
      <c r="C42" s="5">
        <f>SUM(C6:C41)</f>
        <v>3445888</v>
      </c>
      <c r="D42" s="5"/>
      <c r="E42" s="5">
        <f>SUM(E6:E41)</f>
        <v>313761.6798951028</v>
      </c>
      <c r="F42" s="8">
        <f>SUM(F6:F41)</f>
        <v>0.99999999999999989</v>
      </c>
      <c r="G42" s="11">
        <f>SUM(G6:G41)</f>
        <v>2128454.9999999995</v>
      </c>
      <c r="H42" s="12">
        <f t="shared" ref="H42" si="8">G42/C42</f>
        <v>0.61767968082537783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2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  <col min="10" max="10" width="10.5703125" bestFit="1" customWidth="1"/>
  </cols>
  <sheetData>
    <row r="3" spans="2:10" x14ac:dyDescent="0.25">
      <c r="B3" t="s">
        <v>0</v>
      </c>
      <c r="C3" s="1">
        <f>'County Data'!C5</f>
        <v>14500000</v>
      </c>
    </row>
    <row r="4" spans="2:10" x14ac:dyDescent="0.25">
      <c r="B4" t="s">
        <v>41</v>
      </c>
      <c r="C4" s="14">
        <f>'County Data'!K9</f>
        <v>2128455</v>
      </c>
      <c r="D4" s="9"/>
    </row>
    <row r="6" spans="2:10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0" x14ac:dyDescent="0.25">
      <c r="B7" s="20" t="str">
        <f>'County Data'!$B$45</f>
        <v>Wheeler</v>
      </c>
      <c r="C7" s="15">
        <f>VLOOKUP($B7,'County Data'!$B$10:$L$46,2,FALSE)</f>
        <v>1456</v>
      </c>
      <c r="D7" s="29">
        <f>VLOOKUP($B7,'County Data'!$B$10:$L$46,10,FALSE)</f>
        <v>1.4626635873749037E-2</v>
      </c>
      <c r="E7" s="31">
        <f t="shared" ref="E7:E41" si="0">C7*D7</f>
        <v>21.2963818321786</v>
      </c>
      <c r="F7" s="6">
        <f t="shared" ref="F7:F41" si="1">E7/$E$42</f>
        <v>1.2536499366355079E-4</v>
      </c>
      <c r="G7" s="14">
        <f t="shared" ref="G7:G41" si="2">$C$4*F7</f>
        <v>266.83374758815302</v>
      </c>
      <c r="H7" s="10">
        <f t="shared" ref="H7:H41" si="3">G7/C7</f>
        <v>0.18326493653032488</v>
      </c>
      <c r="J7" s="32"/>
    </row>
    <row r="8" spans="2:10" x14ac:dyDescent="0.25">
      <c r="B8" s="20" t="s">
        <v>89</v>
      </c>
      <c r="C8" s="15">
        <v>2039</v>
      </c>
      <c r="D8" s="29">
        <v>1.6295491580662683E-3</v>
      </c>
      <c r="E8" s="31">
        <f t="shared" ref="E8" si="4">C8*D8</f>
        <v>3.3226507332971211</v>
      </c>
      <c r="F8" s="6">
        <f t="shared" ref="F8" si="5">E8/$E$42</f>
        <v>1.9559382969767773E-5</v>
      </c>
      <c r="G8" s="14">
        <f t="shared" ref="G8" si="6">$C$4*F8</f>
        <v>41.631266478917063</v>
      </c>
      <c r="H8" s="10">
        <f t="shared" ref="H8" si="7">G8/C8</f>
        <v>2.0417492142676342E-2</v>
      </c>
      <c r="J8" s="32"/>
    </row>
    <row r="9" spans="2:10" x14ac:dyDescent="0.25">
      <c r="B9" s="20" t="str">
        <f>+'County Data'!$B$16</f>
        <v>Crook</v>
      </c>
      <c r="C9" s="15">
        <f>VLOOKUP($B9,'County Data'!$B$10:$L$46,2,FALSE)</f>
        <v>25482</v>
      </c>
      <c r="D9" s="29">
        <f>VLOOKUP($B9,'County Data'!$B$10:$L$46,10,FALSE)</f>
        <v>5.5711547889646567E-3</v>
      </c>
      <c r="E9" s="31">
        <f t="shared" si="0"/>
        <v>141.96416633239738</v>
      </c>
      <c r="F9" s="6">
        <f t="shared" si="1"/>
        <v>8.3569767639217875E-4</v>
      </c>
      <c r="G9" s="14">
        <f t="shared" si="2"/>
        <v>1778.7448978053148</v>
      </c>
      <c r="H9" s="10">
        <f t="shared" si="3"/>
        <v>6.9803975269025778E-2</v>
      </c>
      <c r="J9" s="32"/>
    </row>
    <row r="10" spans="2:10" x14ac:dyDescent="0.25">
      <c r="B10" s="20" t="str">
        <f>+'County Data'!$B$42</f>
        <v>Wallowa</v>
      </c>
      <c r="C10" s="15">
        <f>VLOOKUP($B10,'County Data'!$B$10:$L$46,2,FALSE)</f>
        <v>7433</v>
      </c>
      <c r="D10" s="29">
        <f>VLOOKUP($B10,'County Data'!$B$10:$L$46,10,FALSE)</f>
        <v>8.3432657926102508E-3</v>
      </c>
      <c r="E10" s="31">
        <f t="shared" si="0"/>
        <v>62.015494636471992</v>
      </c>
      <c r="F10" s="6">
        <f t="shared" si="1"/>
        <v>3.6506539718385333E-4</v>
      </c>
      <c r="G10" s="14">
        <f t="shared" si="2"/>
        <v>777.02526996295853</v>
      </c>
      <c r="H10" s="10">
        <f t="shared" si="3"/>
        <v>0.1045372352970481</v>
      </c>
      <c r="J10" s="32"/>
    </row>
    <row r="11" spans="2:10" x14ac:dyDescent="0.25">
      <c r="B11" s="20" t="str">
        <f>+'County Data'!$B$21</f>
        <v>Grant</v>
      </c>
      <c r="C11" s="15">
        <f>VLOOKUP($B11,'County Data'!$B$10:$L$46,2,FALSE)</f>
        <v>7226</v>
      </c>
      <c r="D11" s="29">
        <f>VLOOKUP($B11,'County Data'!$B$10:$L$46,10,FALSE)</f>
        <v>1.3379872018615475E-2</v>
      </c>
      <c r="E11" s="31">
        <f t="shared" si="0"/>
        <v>96.682955206515416</v>
      </c>
      <c r="F11" s="6">
        <f t="shared" si="1"/>
        <v>5.6914165806907103E-4</v>
      </c>
      <c r="G11" s="14">
        <f t="shared" si="2"/>
        <v>1211.3924078254047</v>
      </c>
      <c r="H11" s="10">
        <f t="shared" si="3"/>
        <v>0.16764356598746258</v>
      </c>
      <c r="J11" s="32"/>
    </row>
    <row r="12" spans="2:10" x14ac:dyDescent="0.25">
      <c r="B12" s="20" t="str">
        <f>+'County Data'!$B$10</f>
        <v>Baker</v>
      </c>
      <c r="C12" s="15">
        <f>VLOOKUP($B12,'County Data'!$B$10:$L$46,2,FALSE)</f>
        <v>16860</v>
      </c>
      <c r="D12" s="29">
        <f>VLOOKUP($B12,'County Data'!$B$10:$L$46,10,FALSE)</f>
        <v>9.7955985110690265E-3</v>
      </c>
      <c r="E12" s="31">
        <f t="shared" si="0"/>
        <v>165.15379089662378</v>
      </c>
      <c r="F12" s="6">
        <f t="shared" si="1"/>
        <v>9.7220758495146584E-4</v>
      </c>
      <c r="G12" s="14">
        <f t="shared" si="2"/>
        <v>2069.3000952278721</v>
      </c>
      <c r="H12" s="10">
        <f t="shared" si="3"/>
        <v>0.12273428797318341</v>
      </c>
      <c r="J12" s="32"/>
    </row>
    <row r="13" spans="2:10" x14ac:dyDescent="0.25">
      <c r="B13" s="20" t="str">
        <f>+'County Data'!$B$19</f>
        <v>Douglas</v>
      </c>
      <c r="C13" s="15">
        <f>VLOOKUP($B13,'County Data'!$B$10:$L$46,2,FALSE)</f>
        <v>111694</v>
      </c>
      <c r="D13" s="29">
        <f>VLOOKUP($B13,'County Data'!$B$10:$L$46,10,FALSE)</f>
        <v>1.1507468835934731E-2</v>
      </c>
      <c r="E13" s="31">
        <f t="shared" si="0"/>
        <v>1285.3152241608939</v>
      </c>
      <c r="F13" s="6">
        <f t="shared" si="1"/>
        <v>7.5662399464083985E-3</v>
      </c>
      <c r="G13" s="14">
        <f t="shared" si="2"/>
        <v>16104.401245132687</v>
      </c>
      <c r="H13" s="10">
        <f t="shared" si="3"/>
        <v>0.14418322600258462</v>
      </c>
      <c r="J13" s="32"/>
    </row>
    <row r="14" spans="2:10" x14ac:dyDescent="0.25">
      <c r="B14" s="20" t="str">
        <f>+'County Data'!$B$17</f>
        <v>Curry</v>
      </c>
      <c r="C14" s="15">
        <f>VLOOKUP($B14,'County Data'!$B$10:$L$46,2,FALSE)</f>
        <v>23662</v>
      </c>
      <c r="D14" s="29">
        <f>VLOOKUP($B14,'County Data'!$B$10:$L$46,10,FALSE)</f>
        <v>1.322703388294981E-2</v>
      </c>
      <c r="E14" s="31">
        <f t="shared" si="0"/>
        <v>312.97807573835837</v>
      </c>
      <c r="F14" s="6">
        <f t="shared" si="1"/>
        <v>1.8424019061530771E-3</v>
      </c>
      <c r="G14" s="14">
        <f t="shared" si="2"/>
        <v>3921.4695491610478</v>
      </c>
      <c r="H14" s="10">
        <f t="shared" si="3"/>
        <v>0.16572857531743082</v>
      </c>
      <c r="J14" s="32"/>
    </row>
    <row r="15" spans="2:10" x14ac:dyDescent="0.25">
      <c r="B15" s="20" t="str">
        <f>+'County Data'!$B$26</f>
        <v>Josephine</v>
      </c>
      <c r="C15" s="15">
        <f>VLOOKUP($B15,'County Data'!$B$10:$L$46,2,FALSE)</f>
        <v>88728</v>
      </c>
      <c r="D15" s="29">
        <f>VLOOKUP($B15,'County Data'!$B$10:$L$46,10,FALSE)</f>
        <v>1.4025685592893009E-2</v>
      </c>
      <c r="E15" s="31">
        <f t="shared" si="0"/>
        <v>1244.471031286211</v>
      </c>
      <c r="F15" s="6">
        <f t="shared" si="1"/>
        <v>7.3258032364884743E-3</v>
      </c>
      <c r="G15" s="14">
        <f t="shared" si="2"/>
        <v>15592.642527720076</v>
      </c>
      <c r="H15" s="10">
        <f t="shared" si="3"/>
        <v>0.17573530934676851</v>
      </c>
      <c r="J15" s="32"/>
    </row>
    <row r="16" spans="2:10" x14ac:dyDescent="0.25">
      <c r="B16" s="20" t="str">
        <f>+'County Data'!$B$14</f>
        <v>Columbia</v>
      </c>
      <c r="C16" s="15">
        <f>VLOOKUP($B16,'County Data'!$B$10:$L$46,2,FALSE)</f>
        <v>53014</v>
      </c>
      <c r="D16" s="29">
        <f>VLOOKUP($B16,'County Data'!$B$10:$L$46,10,FALSE)</f>
        <v>6.7391172363548057E-3</v>
      </c>
      <c r="E16" s="31">
        <f t="shared" si="0"/>
        <v>357.26756116811367</v>
      </c>
      <c r="F16" s="6">
        <f t="shared" si="1"/>
        <v>2.1031199522520468E-3</v>
      </c>
      <c r="G16" s="14">
        <f t="shared" si="2"/>
        <v>4476.3961779706306</v>
      </c>
      <c r="H16" s="10">
        <f t="shared" si="3"/>
        <v>8.443800086714133E-2</v>
      </c>
      <c r="J16" s="32"/>
    </row>
    <row r="17" spans="2:10" x14ac:dyDescent="0.25">
      <c r="B17" s="20" t="str">
        <f>+'County Data'!$B$41</f>
        <v>Union</v>
      </c>
      <c r="C17" s="15">
        <f>VLOOKUP($B17,'County Data'!$B$10:$L$46,2,FALSE)</f>
        <v>26295</v>
      </c>
      <c r="D17" s="29">
        <f>VLOOKUP($B17,'County Data'!$B$10:$L$46,10,FALSE)</f>
        <v>1.2077584483103379E-2</v>
      </c>
      <c r="E17" s="31">
        <f t="shared" si="0"/>
        <v>317.58008398320334</v>
      </c>
      <c r="F17" s="6">
        <f t="shared" si="1"/>
        <v>1.8694924579191457E-3</v>
      </c>
      <c r="G17" s="14">
        <f t="shared" si="2"/>
        <v>3979.130569520295</v>
      </c>
      <c r="H17" s="10">
        <f t="shared" si="3"/>
        <v>0.15132650958434285</v>
      </c>
      <c r="J17" s="32"/>
    </row>
    <row r="18" spans="2:10" x14ac:dyDescent="0.25">
      <c r="B18" s="20" t="str">
        <f>+'County Data'!$B$15</f>
        <v>Coos</v>
      </c>
      <c r="C18" s="15">
        <f>VLOOKUP($B18,'County Data'!$B$10:$L$46,2,FALSE)</f>
        <v>65154</v>
      </c>
      <c r="D18" s="29">
        <f>VLOOKUP($B18,'County Data'!$B$10:$L$46,10,FALSE)</f>
        <v>1.3772209940227625E-2</v>
      </c>
      <c r="E18" s="31">
        <f t="shared" si="0"/>
        <v>897.31456644559069</v>
      </c>
      <c r="F18" s="6">
        <f t="shared" si="1"/>
        <v>5.2822040768770104E-3</v>
      </c>
      <c r="G18" s="14">
        <f t="shared" si="2"/>
        <v>11242.933678449257</v>
      </c>
      <c r="H18" s="10">
        <f t="shared" si="3"/>
        <v>0.17255937745110442</v>
      </c>
      <c r="J18" s="32"/>
    </row>
    <row r="19" spans="2:10" x14ac:dyDescent="0.25">
      <c r="B19" s="20" t="str">
        <f>+'County Data'!$B$22</f>
        <v>Harney</v>
      </c>
      <c r="C19" s="15">
        <f>VLOOKUP($B19,'County Data'!$B$10:$L$46,2,FALSE)</f>
        <v>7537</v>
      </c>
      <c r="D19" s="29">
        <f>VLOOKUP($B19,'County Data'!$B$10:$L$46,10,FALSE)</f>
        <v>9.229881742140178E-3</v>
      </c>
      <c r="E19" s="31">
        <f t="shared" si="0"/>
        <v>69.565618690510519</v>
      </c>
      <c r="F19" s="6">
        <f t="shared" si="1"/>
        <v>4.0951056452037145E-4</v>
      </c>
      <c r="G19" s="14">
        <f t="shared" si="2"/>
        <v>871.62480860620724</v>
      </c>
      <c r="H19" s="10">
        <f t="shared" si="3"/>
        <v>0.11564612028740974</v>
      </c>
      <c r="J19" s="32"/>
    </row>
    <row r="20" spans="2:10" x14ac:dyDescent="0.25">
      <c r="B20" s="20" t="str">
        <f>+'County Data'!$B$18</f>
        <v>Deschutes</v>
      </c>
      <c r="C20" s="15">
        <f>VLOOKUP($B20,'County Data'!$B$10:$L$46,2,FALSE)</f>
        <v>203390</v>
      </c>
      <c r="D20" s="29">
        <f>VLOOKUP($B20,'County Data'!$B$10:$L$46,10,FALSE)</f>
        <v>2.0506117786613359E-2</v>
      </c>
      <c r="E20" s="31">
        <f t="shared" si="0"/>
        <v>4170.7392966192911</v>
      </c>
      <c r="F20" s="6">
        <f t="shared" si="1"/>
        <v>2.4551809298561541E-2</v>
      </c>
      <c r="G20" s="14">
        <f t="shared" si="2"/>
        <v>52257.421260569805</v>
      </c>
      <c r="H20" s="10">
        <f t="shared" si="3"/>
        <v>0.2569321070877123</v>
      </c>
      <c r="J20" s="32"/>
    </row>
    <row r="21" spans="2:10" x14ac:dyDescent="0.25">
      <c r="B21" s="20" t="str">
        <f>+'County Data'!$B$31</f>
        <v>Linn</v>
      </c>
      <c r="C21" s="15">
        <f>VLOOKUP($B21,'County Data'!$B$10:$L$46,2,FALSE)</f>
        <v>130440</v>
      </c>
      <c r="D21" s="29">
        <f>VLOOKUP($B21,'County Data'!$B$10:$L$46,10,FALSE)</f>
        <v>2.7944595928336039E-2</v>
      </c>
      <c r="E21" s="31">
        <f t="shared" si="0"/>
        <v>3645.093092892153</v>
      </c>
      <c r="F21" s="6">
        <f t="shared" si="1"/>
        <v>2.1457498090262695E-2</v>
      </c>
      <c r="G21" s="14">
        <f t="shared" si="2"/>
        <v>45671.319097710082</v>
      </c>
      <c r="H21" s="10">
        <f t="shared" si="3"/>
        <v>0.35013277443813312</v>
      </c>
      <c r="J21" s="32"/>
    </row>
    <row r="22" spans="2:10" x14ac:dyDescent="0.25">
      <c r="B22" s="20" t="str">
        <f>+'County Data'!$B$39</f>
        <v>Tillamook</v>
      </c>
      <c r="C22" s="15">
        <f>VLOOKUP($B22,'County Data'!$B$10:$L$46,2,FALSE)</f>
        <v>27628</v>
      </c>
      <c r="D22" s="29">
        <f>VLOOKUP($B22,'County Data'!$B$10:$L$46,10,FALSE)</f>
        <v>4.0800375175863685E-2</v>
      </c>
      <c r="E22" s="31">
        <f t="shared" si="0"/>
        <v>1127.232765358762</v>
      </c>
      <c r="F22" s="6">
        <f t="shared" si="1"/>
        <v>6.6356590335463371E-3</v>
      </c>
      <c r="G22" s="14">
        <f t="shared" si="2"/>
        <v>14123.701648246868</v>
      </c>
      <c r="H22" s="10">
        <f t="shared" si="3"/>
        <v>0.51120970205034266</v>
      </c>
      <c r="J22" s="32"/>
    </row>
    <row r="23" spans="2:10" x14ac:dyDescent="0.25">
      <c r="B23" s="20" t="str">
        <f>+'County Data'!$B$28</f>
        <v>Lake</v>
      </c>
      <c r="C23" s="15">
        <f>VLOOKUP($B23,'County Data'!$B$10:$L$46,2,FALSE)</f>
        <v>8177</v>
      </c>
      <c r="D23" s="29">
        <f>VLOOKUP($B23,'County Data'!$B$10:$L$46,10,FALSE)</f>
        <v>2.7295614151318405E-2</v>
      </c>
      <c r="E23" s="31">
        <f t="shared" si="0"/>
        <v>223.19623691533059</v>
      </c>
      <c r="F23" s="6">
        <f t="shared" si="1"/>
        <v>1.3138849146825411E-3</v>
      </c>
      <c r="G23" s="14">
        <f t="shared" si="2"/>
        <v>2796.5449160806279</v>
      </c>
      <c r="H23" s="10">
        <f t="shared" si="3"/>
        <v>0.34200133497378354</v>
      </c>
      <c r="J23" s="32"/>
    </row>
    <row r="24" spans="2:10" x14ac:dyDescent="0.25">
      <c r="B24" s="20" t="str">
        <f>+'County Data'!$B$29</f>
        <v>Lane</v>
      </c>
      <c r="C24" s="15">
        <f>VLOOKUP($B24,'County Data'!$B$10:$L$46,2,FALSE)</f>
        <v>382647</v>
      </c>
      <c r="D24" s="29">
        <f>VLOOKUP($B24,'County Data'!$B$10:$L$46,10,FALSE)</f>
        <v>2.1949998609527517E-2</v>
      </c>
      <c r="E24" s="31">
        <f t="shared" si="0"/>
        <v>8399.1011179398756</v>
      </c>
      <c r="F24" s="6">
        <f t="shared" si="1"/>
        <v>4.944282398426262E-2</v>
      </c>
      <c r="G24" s="14">
        <f t="shared" si="2"/>
        <v>105236.82592342369</v>
      </c>
      <c r="H24" s="10">
        <f t="shared" si="3"/>
        <v>0.27502326144834194</v>
      </c>
      <c r="J24" s="32"/>
    </row>
    <row r="25" spans="2:10" x14ac:dyDescent="0.25">
      <c r="B25" s="20" t="str">
        <f>+'County Data'!$B$13</f>
        <v>Clatsop</v>
      </c>
      <c r="C25" s="15">
        <f>VLOOKUP($B25,'County Data'!$B$10:$L$46,2,FALSE)</f>
        <v>41428</v>
      </c>
      <c r="D25" s="29">
        <f>VLOOKUP($B25,'County Data'!$B$10:$L$46,10,FALSE)</f>
        <v>2.4848179479699806E-2</v>
      </c>
      <c r="E25" s="31">
        <f t="shared" si="0"/>
        <v>1029.4103794850037</v>
      </c>
      <c r="F25" s="6">
        <f t="shared" si="1"/>
        <v>6.0598099112936961E-3</v>
      </c>
      <c r="G25" s="14">
        <f t="shared" si="2"/>
        <v>12898.032704742624</v>
      </c>
      <c r="H25" s="10">
        <f t="shared" si="3"/>
        <v>0.31133611819886609</v>
      </c>
      <c r="J25" s="32"/>
    </row>
    <row r="26" spans="2:10" x14ac:dyDescent="0.25">
      <c r="B26" s="20" t="str">
        <f>+'County Data'!$B$27</f>
        <v>Klamath</v>
      </c>
      <c r="C26" s="15">
        <f>VLOOKUP($B26,'County Data'!$B$10:$L$46,2,FALSE)</f>
        <v>69822</v>
      </c>
      <c r="D26" s="29">
        <f>VLOOKUP($B26,'County Data'!$B$10:$L$46,10,FALSE)</f>
        <v>3.3687720181177654E-2</v>
      </c>
      <c r="E26" s="31">
        <f t="shared" si="0"/>
        <v>2352.1439984901863</v>
      </c>
      <c r="F26" s="6">
        <f t="shared" si="1"/>
        <v>1.3846319989479433E-2</v>
      </c>
      <c r="G26" s="14">
        <f t="shared" si="2"/>
        <v>29471.269013207446</v>
      </c>
      <c r="H26" s="10">
        <f t="shared" si="3"/>
        <v>0.42209144701107737</v>
      </c>
      <c r="J26" s="32"/>
    </row>
    <row r="27" spans="2:10" x14ac:dyDescent="0.25">
      <c r="B27" s="20" t="str">
        <f>+'County Data'!$B$30</f>
        <v>Lincoln</v>
      </c>
      <c r="C27" s="15">
        <f>VLOOKUP($B27,'County Data'!$B$10:$L$46,2,FALSE)</f>
        <v>50903</v>
      </c>
      <c r="D27" s="29">
        <f>VLOOKUP($B27,'County Data'!$B$10:$L$46,10,FALSE)</f>
        <v>2.0278726428101732E-2</v>
      </c>
      <c r="E27" s="31">
        <f t="shared" si="0"/>
        <v>1032.2480113696624</v>
      </c>
      <c r="F27" s="6">
        <f t="shared" si="1"/>
        <v>6.0765141433103392E-3</v>
      </c>
      <c r="G27" s="14">
        <f t="shared" si="2"/>
        <v>12933.586910899608</v>
      </c>
      <c r="H27" s="10">
        <f t="shared" si="3"/>
        <v>0.2540829992515099</v>
      </c>
      <c r="J27" s="32"/>
    </row>
    <row r="28" spans="2:10" x14ac:dyDescent="0.25">
      <c r="B28" s="20" t="str">
        <f>+'County Data'!$B$24</f>
        <v>Jackson</v>
      </c>
      <c r="C28" s="15">
        <f>VLOOKUP($B28,'County Data'!$B$10:$L$46,2,FALSE)</f>
        <v>223827</v>
      </c>
      <c r="D28" s="29">
        <f>VLOOKUP($B28,'County Data'!$B$10:$L$46,10,FALSE)</f>
        <v>3.0863571128281701E-2</v>
      </c>
      <c r="E28" s="31">
        <f t="shared" si="0"/>
        <v>6908.1005349299085</v>
      </c>
      <c r="F28" s="6">
        <f t="shared" si="1"/>
        <v>4.0665780065987166E-2</v>
      </c>
      <c r="G28" s="14">
        <f t="shared" si="2"/>
        <v>86555.28291035071</v>
      </c>
      <c r="H28" s="10">
        <f t="shared" si="3"/>
        <v>0.3867061744577317</v>
      </c>
      <c r="J28" s="32"/>
    </row>
    <row r="29" spans="2:10" x14ac:dyDescent="0.25">
      <c r="B29" s="20" t="str">
        <f>+'County Data'!$B$11</f>
        <v>Benton</v>
      </c>
      <c r="C29" s="15">
        <f>VLOOKUP($B29,'County Data'!$B$10:$L$46,2,FALSE)</f>
        <v>93976</v>
      </c>
      <c r="D29" s="29">
        <f>VLOOKUP($B29,'County Data'!$B$10:$L$46,10,FALSE)</f>
        <v>4.7127580203929369E-2</v>
      </c>
      <c r="E29" s="31">
        <f t="shared" si="0"/>
        <v>4428.8614772444662</v>
      </c>
      <c r="F29" s="6">
        <f t="shared" si="1"/>
        <v>2.6071292081763814E-2</v>
      </c>
      <c r="G29" s="14">
        <f t="shared" si="2"/>
        <v>55491.571987890602</v>
      </c>
      <c r="H29" s="10">
        <f t="shared" si="3"/>
        <v>0.59048663475664642</v>
      </c>
      <c r="J29" s="32"/>
    </row>
    <row r="30" spans="2:10" x14ac:dyDescent="0.25">
      <c r="B30" s="20" t="str">
        <f>+'County Data'!$B$12</f>
        <v>Clackamas</v>
      </c>
      <c r="C30" s="15">
        <f>VLOOKUP($B30,'County Data'!$B$10:$L$46,2,FALSE)</f>
        <v>425316</v>
      </c>
      <c r="D30" s="29">
        <f>VLOOKUP($B30,'County Data'!$B$10:$L$46,10,FALSE)</f>
        <v>4.1936403240910386E-2</v>
      </c>
      <c r="E30" s="31">
        <f t="shared" si="0"/>
        <v>17836.223280811042</v>
      </c>
      <c r="F30" s="6">
        <f t="shared" si="1"/>
        <v>0.10499614611538961</v>
      </c>
      <c r="G30" s="14">
        <f t="shared" si="2"/>
        <v>223479.5721800316</v>
      </c>
      <c r="H30" s="10">
        <f t="shared" si="3"/>
        <v>0.52544360470810314</v>
      </c>
      <c r="J30" s="32"/>
    </row>
    <row r="31" spans="2:10" x14ac:dyDescent="0.25">
      <c r="B31" s="20" t="str">
        <f>+'County Data'!$B$37</f>
        <v>Polk</v>
      </c>
      <c r="C31" s="15">
        <f>VLOOKUP($B31,'County Data'!$B$10:$L$46,2,FALSE)</f>
        <v>88916</v>
      </c>
      <c r="D31" s="29">
        <f>VLOOKUP($B31,'County Data'!$B$10:$L$46,10,FALSE)</f>
        <v>4.0397342708085725E-2</v>
      </c>
      <c r="E31" s="31">
        <f t="shared" si="0"/>
        <v>3591.9701242321503</v>
      </c>
      <c r="F31" s="6">
        <f t="shared" si="1"/>
        <v>2.1144780151509952E-2</v>
      </c>
      <c r="G31" s="14">
        <f t="shared" si="2"/>
        <v>45005.713037382113</v>
      </c>
      <c r="H31" s="10">
        <f t="shared" si="3"/>
        <v>0.50615989290321328</v>
      </c>
      <c r="J31" s="32"/>
    </row>
    <row r="32" spans="2:10" x14ac:dyDescent="0.25">
      <c r="B32" s="20" t="str">
        <f>+'County Data'!$B$25</f>
        <v>Jefferson</v>
      </c>
      <c r="C32" s="15">
        <f>VLOOKUP($B32,'County Data'!$B$10:$L$46,2,FALSE)</f>
        <v>24889</v>
      </c>
      <c r="D32" s="29">
        <f>VLOOKUP($B32,'County Data'!$B$10:$L$46,10,FALSE)</f>
        <v>5.0597485673670652E-2</v>
      </c>
      <c r="E32" s="31">
        <f t="shared" si="0"/>
        <v>1259.3208209319889</v>
      </c>
      <c r="F32" s="6">
        <f t="shared" si="1"/>
        <v>7.4132192022388207E-3</v>
      </c>
      <c r="G32" s="14">
        <f t="shared" si="2"/>
        <v>15778.70347710123</v>
      </c>
      <c r="H32" s="10">
        <f t="shared" si="3"/>
        <v>0.63396293451328822</v>
      </c>
      <c r="J32" s="32"/>
    </row>
    <row r="33" spans="2:10" x14ac:dyDescent="0.25">
      <c r="B33" s="20" t="str">
        <f>+'County Data'!$B$46</f>
        <v>Yamhill</v>
      </c>
      <c r="C33" s="15">
        <f>VLOOKUP($B33,'County Data'!$B$10:$L$46,2,FALSE)</f>
        <v>108261</v>
      </c>
      <c r="D33" s="29">
        <f>VLOOKUP($B33,'County Data'!$B$10:$L$46,10,FALSE)</f>
        <v>5.4052435653050429E-2</v>
      </c>
      <c r="E33" s="31">
        <f t="shared" si="0"/>
        <v>5851.7707362348929</v>
      </c>
      <c r="F33" s="6">
        <f t="shared" si="1"/>
        <v>3.4447504137072087E-2</v>
      </c>
      <c r="G33" s="14">
        <f t="shared" si="2"/>
        <v>73319.962418071766</v>
      </c>
      <c r="H33" s="10">
        <f t="shared" si="3"/>
        <v>0.67725184893980073</v>
      </c>
      <c r="J33" s="32"/>
    </row>
    <row r="34" spans="2:10" x14ac:dyDescent="0.25">
      <c r="B34" s="20" t="str">
        <f>+'County Data'!$B$36</f>
        <v>Sherman, Wasco</v>
      </c>
      <c r="C34" s="15">
        <f>VLOOKUP($B34,'County Data'!$B$10:$L$46,2,FALSE)</f>
        <v>28489</v>
      </c>
      <c r="D34" s="29">
        <f>VLOOKUP($B34,'County Data'!$B$10:$L$46,10,FALSE)</f>
        <v>5.8275324280117162E-2</v>
      </c>
      <c r="E34" s="31">
        <f t="shared" si="0"/>
        <v>1660.2057134162578</v>
      </c>
      <c r="F34" s="6">
        <f t="shared" si="1"/>
        <v>9.7731004441390726E-3</v>
      </c>
      <c r="G34" s="14">
        <f t="shared" si="2"/>
        <v>20801.60450583003</v>
      </c>
      <c r="H34" s="10">
        <f t="shared" si="3"/>
        <v>0.73016267702727478</v>
      </c>
      <c r="J34" s="32"/>
    </row>
    <row r="35" spans="2:10" x14ac:dyDescent="0.25">
      <c r="B35" s="20" t="str">
        <f>+'County Data'!$B$35</f>
        <v>Multnomah</v>
      </c>
      <c r="C35" s="15">
        <f>VLOOKUP($B35,'County Data'!$B$10:$L$46,2,FALSE)</f>
        <v>0</v>
      </c>
      <c r="D35" s="29">
        <f>VLOOKUP($B35,'County Data'!$B$10:$L$46,10,FALSE)</f>
        <v>7.8249997392492471E-2</v>
      </c>
      <c r="E35" s="31">
        <f t="shared" si="0"/>
        <v>0</v>
      </c>
      <c r="F35" s="6">
        <f t="shared" si="1"/>
        <v>0</v>
      </c>
      <c r="G35" s="14">
        <f t="shared" si="2"/>
        <v>0</v>
      </c>
      <c r="H35" s="10" t="e">
        <f t="shared" si="3"/>
        <v>#DIV/0!</v>
      </c>
      <c r="J35" s="32"/>
    </row>
    <row r="36" spans="2:10" x14ac:dyDescent="0.25">
      <c r="B36" s="20" t="str">
        <f>+'County Data'!$B$32</f>
        <v>Malheur</v>
      </c>
      <c r="C36" s="15">
        <f>VLOOKUP($B36,'County Data'!$B$10:$L$46,2,FALSE)</f>
        <v>31995</v>
      </c>
      <c r="D36" s="29">
        <f>VLOOKUP($B36,'County Data'!$B$10:$L$46,10,FALSE)</f>
        <v>7.1331069966049487E-2</v>
      </c>
      <c r="E36" s="31">
        <f t="shared" si="0"/>
        <v>2282.2375835637536</v>
      </c>
      <c r="F36" s="6">
        <f t="shared" si="1"/>
        <v>1.3434803266434406E-2</v>
      </c>
      <c r="G36" s="14">
        <f t="shared" si="2"/>
        <v>28595.374186458645</v>
      </c>
      <c r="H36" s="10">
        <f t="shared" si="3"/>
        <v>0.89374509099730093</v>
      </c>
      <c r="J36" s="32"/>
    </row>
    <row r="37" spans="2:10" x14ac:dyDescent="0.25">
      <c r="B37" s="20" t="str">
        <f>+'County Data'!$B$44</f>
        <v>Washington</v>
      </c>
      <c r="C37" s="15">
        <f>VLOOKUP($B37,'County Data'!$B$10:$L$46,2,FALSE)</f>
        <v>605036</v>
      </c>
      <c r="D37" s="29">
        <f>VLOOKUP($B37,'County Data'!$B$10:$L$46,10,FALSE)</f>
        <v>8.6434537407195894E-2</v>
      </c>
      <c r="E37" s="31">
        <f t="shared" si="0"/>
        <v>52296.006774700174</v>
      </c>
      <c r="F37" s="6">
        <f t="shared" si="1"/>
        <v>0.3078498784255041</v>
      </c>
      <c r="G37" s="14">
        <f t="shared" si="2"/>
        <v>655244.61298415635</v>
      </c>
      <c r="H37" s="10">
        <f t="shared" si="3"/>
        <v>1.0829845050280584</v>
      </c>
      <c r="J37" s="32"/>
    </row>
    <row r="38" spans="2:10" x14ac:dyDescent="0.25">
      <c r="B38" s="20" t="str">
        <f>+'County Data'!$B$40</f>
        <v>Umatilla</v>
      </c>
      <c r="C38" s="15">
        <f>VLOOKUP($B38,'County Data'!$B$10:$L$46,2,FALSE)</f>
        <v>80463</v>
      </c>
      <c r="D38" s="29">
        <f>VLOOKUP($B38,'County Data'!$B$10:$L$46,10,FALSE)</f>
        <v>8.7432299530425389E-2</v>
      </c>
      <c r="E38" s="31">
        <f t="shared" si="0"/>
        <v>7035.0651171166182</v>
      </c>
      <c r="F38" s="6">
        <f t="shared" si="1"/>
        <v>4.1413179984281359E-2</v>
      </c>
      <c r="G38" s="14">
        <f t="shared" si="2"/>
        <v>88146.090003443576</v>
      </c>
      <c r="H38" s="10">
        <f t="shared" si="3"/>
        <v>1.0954859998190918</v>
      </c>
      <c r="J38" s="32"/>
    </row>
    <row r="39" spans="2:10" x14ac:dyDescent="0.25">
      <c r="B39" s="20" t="str">
        <f>+'County Data'!$B$33</f>
        <v>Marion</v>
      </c>
      <c r="C39" s="15">
        <f>VLOOKUP($B39,'County Data'!$B$10:$L$46,2,FALSE)</f>
        <v>347182</v>
      </c>
      <c r="D39" s="29">
        <f>VLOOKUP($B39,'County Data'!$B$10:$L$46,10,FALSE)</f>
        <v>9.9453636972121479E-2</v>
      </c>
      <c r="E39" s="31">
        <f t="shared" si="0"/>
        <v>34528.512591255079</v>
      </c>
      <c r="F39" s="6">
        <f t="shared" si="1"/>
        <v>0.20325831854094381</v>
      </c>
      <c r="G39" s="14">
        <f t="shared" si="2"/>
        <v>432626.18439006456</v>
      </c>
      <c r="H39" s="10">
        <f t="shared" si="3"/>
        <v>1.2461077601663235</v>
      </c>
      <c r="J39" s="32"/>
    </row>
    <row r="40" spans="2:10" x14ac:dyDescent="0.25">
      <c r="B40" s="20" t="str">
        <f>+'County Data'!$B$23</f>
        <v>Hood River</v>
      </c>
      <c r="C40" s="15">
        <f>VLOOKUP($B40,'County Data'!$B$10:$L$46,2,FALSE)</f>
        <v>23888</v>
      </c>
      <c r="D40" s="29">
        <f>VLOOKUP($B40,'County Data'!$B$10:$L$46,10,FALSE)</f>
        <v>0.14958753437213565</v>
      </c>
      <c r="E40" s="31">
        <f t="shared" si="0"/>
        <v>3573.3470210815763</v>
      </c>
      <c r="F40" s="6">
        <f t="shared" si="1"/>
        <v>2.103515189508286E-2</v>
      </c>
      <c r="G40" s="14">
        <f t="shared" si="2"/>
        <v>44772.374226848588</v>
      </c>
      <c r="H40" s="10">
        <f t="shared" si="3"/>
        <v>1.8742621494829448</v>
      </c>
      <c r="J40" s="32"/>
    </row>
    <row r="41" spans="2:10" x14ac:dyDescent="0.25">
      <c r="B41" s="20" t="str">
        <f>+'County Data'!$B$34</f>
        <v>Morrow</v>
      </c>
      <c r="C41" s="15">
        <f>VLOOKUP($B41,'County Data'!$B$10:$L$46,2,FALSE)</f>
        <v>12635</v>
      </c>
      <c r="D41" s="29">
        <f>VLOOKUP($B41,'County Data'!$B$10:$L$46,10,FALSE)</f>
        <v>0.13211823590518462</v>
      </c>
      <c r="E41" s="31">
        <f t="shared" si="0"/>
        <v>1669.3139106620076</v>
      </c>
      <c r="F41" s="6">
        <f t="shared" si="1"/>
        <v>9.8267174904053296E-3</v>
      </c>
      <c r="G41" s="14">
        <f t="shared" si="2"/>
        <v>20915.725976040674</v>
      </c>
      <c r="H41" s="10">
        <f t="shared" si="3"/>
        <v>1.6553799743601643</v>
      </c>
      <c r="J41" s="32"/>
    </row>
    <row r="42" spans="2:10" x14ac:dyDescent="0.25">
      <c r="B42" s="4" t="s">
        <v>2</v>
      </c>
      <c r="C42" s="5">
        <f>SUM(C7:C41)</f>
        <v>3445888</v>
      </c>
      <c r="D42" s="5"/>
      <c r="E42" s="5">
        <f>SUM(E7:E41)</f>
        <v>169875.02818636055</v>
      </c>
      <c r="F42" s="33">
        <f>SUM(F7:F41)</f>
        <v>1.0000000000000002</v>
      </c>
      <c r="G42" s="11">
        <f>SUM(G7:G41)</f>
        <v>2128455</v>
      </c>
      <c r="H42" s="12">
        <f t="shared" ref="H42" si="8">G42/C42</f>
        <v>0.61767968082537794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2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5" width="12.5703125" bestFit="1" customWidth="1"/>
    <col min="7" max="7" width="14.140625" customWidth="1"/>
    <col min="8" max="8" width="10.5703125" bestFit="1" customWidth="1"/>
    <col min="9" max="9" width="9.7109375" bestFit="1" customWidth="1"/>
    <col min="10" max="11" width="10.7109375" bestFit="1" customWidth="1"/>
    <col min="12" max="12" width="11.5703125" customWidth="1"/>
    <col min="14" max="14" width="11.5703125" bestFit="1" customWidth="1"/>
  </cols>
  <sheetData>
    <row r="3" spans="2:14" x14ac:dyDescent="0.25">
      <c r="B3" t="s">
        <v>0</v>
      </c>
      <c r="C3" s="1">
        <f>'County Data'!C5</f>
        <v>14500000</v>
      </c>
    </row>
    <row r="4" spans="2:14" x14ac:dyDescent="0.25">
      <c r="B4" t="s">
        <v>41</v>
      </c>
      <c r="C4" s="14">
        <f>'County Data'!L9</f>
        <v>0</v>
      </c>
    </row>
    <row r="6" spans="2:14" s="2" customFormat="1" ht="30" x14ac:dyDescent="0.25">
      <c r="B6" s="3" t="s">
        <v>7</v>
      </c>
      <c r="C6" s="3" t="s">
        <v>1</v>
      </c>
      <c r="D6" s="3" t="s">
        <v>124</v>
      </c>
      <c r="E6" s="3" t="s">
        <v>125</v>
      </c>
      <c r="F6" s="3" t="s">
        <v>108</v>
      </c>
      <c r="G6" s="3" t="s">
        <v>112</v>
      </c>
      <c r="H6" s="3" t="s">
        <v>33</v>
      </c>
      <c r="I6" s="3" t="s">
        <v>34</v>
      </c>
      <c r="J6" s="3" t="s">
        <v>105</v>
      </c>
      <c r="K6" s="13" t="s">
        <v>96</v>
      </c>
      <c r="L6" s="3" t="s">
        <v>107</v>
      </c>
    </row>
    <row r="7" spans="2:14" x14ac:dyDescent="0.25">
      <c r="B7" s="20" t="str">
        <f>'County Data'!$B$45</f>
        <v>Wheeler</v>
      </c>
      <c r="C7" s="15">
        <f>VLOOKUP($B7,'County Data'!$B$10:$P$46,2,FALSE)</f>
        <v>1456</v>
      </c>
      <c r="D7" s="47">
        <v>22900</v>
      </c>
      <c r="E7" s="47">
        <f>VLOOKUP($B7,'County Data'!$B$10:$P$46,11,FALSE)</f>
        <v>6791</v>
      </c>
      <c r="F7" s="38">
        <f>IFERROR((E7-D7)/D7,-1)</f>
        <v>-0.70344978165938865</v>
      </c>
      <c r="G7" s="75">
        <f>IF(F7&lt;0,0,$C$4*Input!$C$26/36)</f>
        <v>0</v>
      </c>
      <c r="H7" s="31">
        <f>IF(F7&lt;0,0,C7*F7)</f>
        <v>0</v>
      </c>
      <c r="I7" s="38">
        <f>H7/$H$42</f>
        <v>0</v>
      </c>
      <c r="J7" s="75">
        <f>($C$4-$G$42)*I7</f>
        <v>0</v>
      </c>
      <c r="K7" s="77">
        <f>G7+J7</f>
        <v>0</v>
      </c>
      <c r="L7" s="46">
        <f>K7/C7</f>
        <v>0</v>
      </c>
      <c r="N7" s="158"/>
    </row>
    <row r="8" spans="2:14" x14ac:dyDescent="0.25">
      <c r="B8" s="20" t="str">
        <f>+'County Data'!$B$42</f>
        <v>Wallowa</v>
      </c>
      <c r="C8" s="15">
        <f>VLOOKUP($B8,'County Data'!$B$10:$P$46,2,FALSE)</f>
        <v>7433</v>
      </c>
      <c r="D8" s="87">
        <v>0</v>
      </c>
      <c r="E8" s="47">
        <f>VLOOKUP($B8,'County Data'!$B$10:$P$46,11,FALSE)</f>
        <v>0</v>
      </c>
      <c r="F8" s="29">
        <f>IFERROR((E8-D8)/D8,-1)</f>
        <v>-1</v>
      </c>
      <c r="G8" s="75">
        <f>IF(F8&lt;0,0,$C$4*Input!$C$26/36)</f>
        <v>0</v>
      </c>
      <c r="H8" s="31">
        <f t="shared" ref="H8:H41" si="0">IF(F8&lt;0,0,C8*F8)</f>
        <v>0</v>
      </c>
      <c r="I8" s="38">
        <f>H8/$H$42</f>
        <v>0</v>
      </c>
      <c r="J8" s="75">
        <f>($C$4-$G$42)*I8</f>
        <v>0</v>
      </c>
      <c r="K8" s="77">
        <f t="shared" ref="K8:K41" si="1">G8+J8</f>
        <v>0</v>
      </c>
      <c r="L8" s="46">
        <f t="shared" ref="L8:L41" si="2">K8/C8</f>
        <v>0</v>
      </c>
      <c r="N8" s="158"/>
    </row>
    <row r="9" spans="2:14" x14ac:dyDescent="0.25">
      <c r="B9" s="20" t="s">
        <v>89</v>
      </c>
      <c r="C9" s="15">
        <v>2039</v>
      </c>
      <c r="D9" s="87">
        <v>1</v>
      </c>
      <c r="E9" s="47">
        <v>0</v>
      </c>
      <c r="F9" s="29">
        <v>-1</v>
      </c>
      <c r="G9" s="75">
        <v>0</v>
      </c>
      <c r="H9" s="31">
        <v>0</v>
      </c>
      <c r="I9" s="38">
        <v>0</v>
      </c>
      <c r="J9" s="75">
        <v>0</v>
      </c>
      <c r="K9" s="77">
        <v>0</v>
      </c>
      <c r="L9" s="46">
        <v>0</v>
      </c>
      <c r="N9" s="158"/>
    </row>
    <row r="10" spans="2:14" x14ac:dyDescent="0.25">
      <c r="B10" s="20" t="str">
        <f>+'County Data'!$B$22</f>
        <v>Harney</v>
      </c>
      <c r="C10" s="15">
        <f>VLOOKUP($B10,'County Data'!$B$10:$P$46,2,FALSE)</f>
        <v>7537</v>
      </c>
      <c r="D10" s="47">
        <v>96952</v>
      </c>
      <c r="E10" s="47">
        <f>VLOOKUP($B10,'County Data'!$B$10:$P$46,11,FALSE)</f>
        <v>172270</v>
      </c>
      <c r="F10" s="38">
        <f t="shared" ref="F10:F42" si="3">IFERROR((E10-D10)/D10,-1)</f>
        <v>0.77685865170393598</v>
      </c>
      <c r="G10" s="75">
        <f>IF(F10&lt;0,0,$C$4*Input!$C$26/36)</f>
        <v>0</v>
      </c>
      <c r="H10" s="31">
        <f>IF(F10&lt;0,0,C10*F10)</f>
        <v>5855.1836578925659</v>
      </c>
      <c r="I10" s="38">
        <f t="shared" ref="I10:I41" si="4">H10/$H$42</f>
        <v>1.4499154703303853E-3</v>
      </c>
      <c r="J10" s="75">
        <f t="shared" ref="J10:J41" si="5">($C$4-$G$42)*I10</f>
        <v>0</v>
      </c>
      <c r="K10" s="77">
        <f t="shared" si="1"/>
        <v>0</v>
      </c>
      <c r="L10" s="46">
        <f t="shared" si="2"/>
        <v>0</v>
      </c>
      <c r="N10" s="6"/>
    </row>
    <row r="11" spans="2:14" x14ac:dyDescent="0.25">
      <c r="B11" s="20" t="str">
        <f>+'County Data'!$B$21</f>
        <v>Grant</v>
      </c>
      <c r="C11" s="15">
        <f>VLOOKUP($B11,'County Data'!$B$10:$P$46,2,FALSE)</f>
        <v>7226</v>
      </c>
      <c r="D11" s="47">
        <v>73636</v>
      </c>
      <c r="E11" s="47">
        <f>VLOOKUP($B11,'County Data'!$B$10:$P$46,11,FALSE)</f>
        <v>0</v>
      </c>
      <c r="F11" s="38">
        <f t="shared" si="3"/>
        <v>-1</v>
      </c>
      <c r="G11" s="75">
        <f>IF(F11&lt;0,0,$C$4*Input!$C$26/36)</f>
        <v>0</v>
      </c>
      <c r="H11" s="31">
        <f t="shared" si="0"/>
        <v>0</v>
      </c>
      <c r="I11" s="38">
        <f t="shared" si="4"/>
        <v>0</v>
      </c>
      <c r="J11" s="75">
        <f t="shared" si="5"/>
        <v>0</v>
      </c>
      <c r="K11" s="77">
        <f t="shared" si="1"/>
        <v>0</v>
      </c>
      <c r="L11" s="46">
        <f t="shared" si="2"/>
        <v>0</v>
      </c>
      <c r="N11" s="158"/>
    </row>
    <row r="12" spans="2:14" x14ac:dyDescent="0.25">
      <c r="B12" s="20" t="str">
        <f>+'County Data'!$B$28</f>
        <v>Lake</v>
      </c>
      <c r="C12" s="15">
        <f>VLOOKUP($B12,'County Data'!$B$10:$P$46,2,FALSE)</f>
        <v>8177</v>
      </c>
      <c r="D12" s="47">
        <v>151267</v>
      </c>
      <c r="E12" s="47">
        <f>VLOOKUP($B12,'County Data'!$B$10:$P$46,11,FALSE)</f>
        <v>187877</v>
      </c>
      <c r="F12" s="38">
        <f t="shared" si="3"/>
        <v>0.24202238426094258</v>
      </c>
      <c r="G12" s="75">
        <f>IF(F12&lt;0,0,$C$4*Input!$C$26/36)</f>
        <v>0</v>
      </c>
      <c r="H12" s="31">
        <f t="shared" si="0"/>
        <v>1979.0170361017274</v>
      </c>
      <c r="I12" s="38">
        <f t="shared" si="4"/>
        <v>4.9006275197250703E-4</v>
      </c>
      <c r="J12" s="75">
        <f t="shared" si="5"/>
        <v>0</v>
      </c>
      <c r="K12" s="77">
        <f t="shared" si="1"/>
        <v>0</v>
      </c>
      <c r="L12" s="46">
        <f t="shared" si="2"/>
        <v>0</v>
      </c>
      <c r="N12" s="6"/>
    </row>
    <row r="13" spans="2:14" x14ac:dyDescent="0.25">
      <c r="B13" s="20" t="str">
        <f>+'County Data'!$B$34</f>
        <v>Morrow</v>
      </c>
      <c r="C13" s="15">
        <f>VLOOKUP($B13,'County Data'!$B$10:$P$46,2,FALSE)</f>
        <v>12635</v>
      </c>
      <c r="D13" s="47">
        <v>621474</v>
      </c>
      <c r="E13" s="47">
        <f>VLOOKUP($B13,'County Data'!$B$10:$P$46,11,FALSE)</f>
        <v>712823</v>
      </c>
      <c r="F13" s="38">
        <f t="shared" si="3"/>
        <v>0.14698764550085763</v>
      </c>
      <c r="G13" s="75">
        <f>IF(F13&lt;0,0,$C$4*Input!$C$26/36)</f>
        <v>0</v>
      </c>
      <c r="H13" s="31">
        <f t="shared" si="0"/>
        <v>1857.1889009033362</v>
      </c>
      <c r="I13" s="38">
        <f t="shared" si="4"/>
        <v>4.5989452698309201E-4</v>
      </c>
      <c r="J13" s="75">
        <f t="shared" si="5"/>
        <v>0</v>
      </c>
      <c r="K13" s="77">
        <f t="shared" si="1"/>
        <v>0</v>
      </c>
      <c r="L13" s="46">
        <f t="shared" si="2"/>
        <v>0</v>
      </c>
      <c r="N13" s="6"/>
    </row>
    <row r="14" spans="2:14" x14ac:dyDescent="0.25">
      <c r="B14" s="20" t="str">
        <f>+'County Data'!$B$10</f>
        <v>Baker</v>
      </c>
      <c r="C14" s="15">
        <f>VLOOKUP($B14,'County Data'!$B$10:$P$46,2,FALSE)</f>
        <v>16860</v>
      </c>
      <c r="D14" s="47">
        <v>246676</v>
      </c>
      <c r="E14" s="47">
        <f>VLOOKUP($B14,'County Data'!$B$10:$P$46,11,FALSE)</f>
        <v>361764</v>
      </c>
      <c r="F14" s="38">
        <f t="shared" si="3"/>
        <v>0.46655531952845025</v>
      </c>
      <c r="G14" s="75">
        <f>IF(F14&lt;0,0,$C$4*Input!$C$26/36)</f>
        <v>0</v>
      </c>
      <c r="H14" s="31">
        <f t="shared" si="0"/>
        <v>7866.1226872496709</v>
      </c>
      <c r="I14" s="38">
        <f t="shared" si="4"/>
        <v>1.9478830455448353E-3</v>
      </c>
      <c r="J14" s="75">
        <f t="shared" si="5"/>
        <v>0</v>
      </c>
      <c r="K14" s="77">
        <f t="shared" si="1"/>
        <v>0</v>
      </c>
      <c r="L14" s="46">
        <f t="shared" si="2"/>
        <v>0</v>
      </c>
      <c r="N14" s="6"/>
    </row>
    <row r="15" spans="2:14" x14ac:dyDescent="0.25">
      <c r="B15" s="20" t="str">
        <f>+'County Data'!$B$16</f>
        <v>Crook</v>
      </c>
      <c r="C15" s="15">
        <f>VLOOKUP($B15,'County Data'!$B$10:$P$46,2,FALSE)</f>
        <v>25482</v>
      </c>
      <c r="D15" s="47">
        <v>622139</v>
      </c>
      <c r="E15" s="47">
        <f>VLOOKUP($B15,'County Data'!$B$10:$P$46,11,FALSE)</f>
        <v>1584688</v>
      </c>
      <c r="F15" s="38">
        <f t="shared" si="3"/>
        <v>1.5471606827413167</v>
      </c>
      <c r="G15" s="75">
        <f>IF(F15&lt;0,0,$C$4*Input!$C$26/36)</f>
        <v>0</v>
      </c>
      <c r="H15" s="31">
        <f t="shared" si="0"/>
        <v>39424.748517614229</v>
      </c>
      <c r="I15" s="38">
        <f t="shared" si="4"/>
        <v>9.762725839098289E-3</v>
      </c>
      <c r="J15" s="75">
        <f t="shared" si="5"/>
        <v>0</v>
      </c>
      <c r="K15" s="77">
        <f t="shared" si="1"/>
        <v>0</v>
      </c>
      <c r="L15" s="46">
        <f t="shared" si="2"/>
        <v>0</v>
      </c>
      <c r="N15" s="6"/>
    </row>
    <row r="16" spans="2:14" x14ac:dyDescent="0.25">
      <c r="B16" s="20" t="str">
        <f>+'County Data'!$B$17</f>
        <v>Curry</v>
      </c>
      <c r="C16" s="15">
        <f>VLOOKUP($B16,'County Data'!$B$10:$P$46,2,FALSE)</f>
        <v>23662</v>
      </c>
      <c r="D16" s="47">
        <v>144795</v>
      </c>
      <c r="E16" s="47">
        <f>VLOOKUP($B16,'County Data'!$B$10:$P$46,11,FALSE)</f>
        <v>703878</v>
      </c>
      <c r="F16" s="38">
        <f t="shared" si="3"/>
        <v>3.8612037708484408</v>
      </c>
      <c r="G16" s="75">
        <f>IF(F16&lt;0,0,$C$4*Input!$C$26/36)</f>
        <v>0</v>
      </c>
      <c r="H16" s="31">
        <f t="shared" si="0"/>
        <v>91363.80362581581</v>
      </c>
      <c r="I16" s="38">
        <f t="shared" si="4"/>
        <v>2.2624361599099189E-2</v>
      </c>
      <c r="J16" s="75">
        <f t="shared" si="5"/>
        <v>0</v>
      </c>
      <c r="K16" s="77">
        <f t="shared" si="1"/>
        <v>0</v>
      </c>
      <c r="L16" s="46">
        <f t="shared" si="2"/>
        <v>0</v>
      </c>
      <c r="N16" s="6"/>
    </row>
    <row r="17" spans="2:14" x14ac:dyDescent="0.25">
      <c r="B17" s="20" t="str">
        <f>+'County Data'!$B$25</f>
        <v>Jefferson</v>
      </c>
      <c r="C17" s="15">
        <f>VLOOKUP($B17,'County Data'!$B$10:$P$46,2,FALSE)</f>
        <v>24889</v>
      </c>
      <c r="D17" s="47">
        <v>566944</v>
      </c>
      <c r="E17" s="47">
        <f>VLOOKUP($B17,'County Data'!$B$10:$P$46,11,FALSE)</f>
        <v>261557</v>
      </c>
      <c r="F17" s="38">
        <f t="shared" si="3"/>
        <v>-0.53865461139019022</v>
      </c>
      <c r="G17" s="75">
        <f>IF(F17&lt;0,0,$C$4*Input!$C$26/36)</f>
        <v>0</v>
      </c>
      <c r="H17" s="31">
        <f t="shared" si="0"/>
        <v>0</v>
      </c>
      <c r="I17" s="38">
        <f t="shared" si="4"/>
        <v>0</v>
      </c>
      <c r="J17" s="75">
        <f t="shared" si="5"/>
        <v>0</v>
      </c>
      <c r="K17" s="77">
        <f t="shared" si="1"/>
        <v>0</v>
      </c>
      <c r="L17" s="46">
        <f t="shared" si="2"/>
        <v>0</v>
      </c>
      <c r="N17" s="158"/>
    </row>
    <row r="18" spans="2:14" x14ac:dyDescent="0.25">
      <c r="B18" s="20" t="str">
        <f>+'County Data'!$B$23</f>
        <v>Hood River</v>
      </c>
      <c r="C18" s="15">
        <f>VLOOKUP($B18,'County Data'!$B$10:$P$46,2,FALSE)</f>
        <v>23888</v>
      </c>
      <c r="D18" s="47">
        <v>822751</v>
      </c>
      <c r="E18" s="47">
        <f>VLOOKUP($B18,'County Data'!$B$10:$P$46,11,FALSE)</f>
        <v>729676</v>
      </c>
      <c r="F18" s="38">
        <f t="shared" si="3"/>
        <v>-0.11312657170881592</v>
      </c>
      <c r="G18" s="75">
        <f>IF(F18&lt;0,0,$C$4*Input!$C$26/36)</f>
        <v>0</v>
      </c>
      <c r="H18" s="31">
        <f t="shared" si="0"/>
        <v>0</v>
      </c>
      <c r="I18" s="38">
        <f t="shared" si="4"/>
        <v>0</v>
      </c>
      <c r="J18" s="75">
        <f t="shared" si="5"/>
        <v>0</v>
      </c>
      <c r="K18" s="77">
        <f t="shared" si="1"/>
        <v>0</v>
      </c>
      <c r="L18" s="46">
        <f t="shared" si="2"/>
        <v>0</v>
      </c>
      <c r="N18" s="158"/>
    </row>
    <row r="19" spans="2:14" x14ac:dyDescent="0.25">
      <c r="B19" s="20" t="str">
        <f>+'County Data'!$B$39</f>
        <v>Tillamook</v>
      </c>
      <c r="C19" s="15">
        <f>VLOOKUP($B19,'County Data'!$B$10:$P$46,2,FALSE)</f>
        <v>27628</v>
      </c>
      <c r="D19" s="47">
        <v>146840</v>
      </c>
      <c r="E19" s="47">
        <f>VLOOKUP($B19,'County Data'!$B$10:$P$46,11,FALSE)</f>
        <v>119798</v>
      </c>
      <c r="F19" s="38">
        <f t="shared" si="3"/>
        <v>-0.18415962952873877</v>
      </c>
      <c r="G19" s="75">
        <f>IF(F19&lt;0,0,$C$4*Input!$C$26/36)</f>
        <v>0</v>
      </c>
      <c r="H19" s="31">
        <f t="shared" si="0"/>
        <v>0</v>
      </c>
      <c r="I19" s="38">
        <f t="shared" si="4"/>
        <v>0</v>
      </c>
      <c r="J19" s="75">
        <f t="shared" si="5"/>
        <v>0</v>
      </c>
      <c r="K19" s="77">
        <f t="shared" si="1"/>
        <v>0</v>
      </c>
      <c r="L19" s="46">
        <f t="shared" si="2"/>
        <v>0</v>
      </c>
      <c r="N19" s="158"/>
    </row>
    <row r="20" spans="2:14" x14ac:dyDescent="0.25">
      <c r="B20" s="20" t="str">
        <f>+'County Data'!$B$41</f>
        <v>Union</v>
      </c>
      <c r="C20" s="15">
        <f>VLOOKUP($B20,'County Data'!$B$10:$P$46,2,FALSE)</f>
        <v>26295</v>
      </c>
      <c r="D20" s="47">
        <v>145000</v>
      </c>
      <c r="E20" s="47">
        <f>VLOOKUP($B20,'County Data'!$B$10:$P$46,11,FALSE)</f>
        <v>153290</v>
      </c>
      <c r="F20" s="38">
        <f t="shared" si="3"/>
        <v>5.7172413793103449E-2</v>
      </c>
      <c r="G20" s="75">
        <f>IF(F20&lt;0,0,$C$4*Input!$C$26/36)</f>
        <v>0</v>
      </c>
      <c r="H20" s="31">
        <f t="shared" si="0"/>
        <v>1503.3486206896553</v>
      </c>
      <c r="I20" s="38">
        <f t="shared" si="4"/>
        <v>3.7227327950671303E-4</v>
      </c>
      <c r="J20" s="75">
        <f t="shared" si="5"/>
        <v>0</v>
      </c>
      <c r="K20" s="77">
        <f t="shared" si="1"/>
        <v>0</v>
      </c>
      <c r="L20" s="46">
        <f t="shared" si="2"/>
        <v>0</v>
      </c>
      <c r="N20" s="6"/>
    </row>
    <row r="21" spans="2:14" x14ac:dyDescent="0.25">
      <c r="B21" s="20" t="str">
        <f>+'County Data'!$B$36</f>
        <v>Sherman, Wasco</v>
      </c>
      <c r="C21" s="15">
        <f>VLOOKUP($B21,'County Data'!$B$10:$P$46,2,FALSE)</f>
        <v>28489</v>
      </c>
      <c r="D21" s="47">
        <v>545643</v>
      </c>
      <c r="E21" s="47">
        <f>VLOOKUP($B21,'County Data'!$B$10:$P$46,11,FALSE)</f>
        <v>772441</v>
      </c>
      <c r="F21" s="38">
        <f t="shared" si="3"/>
        <v>0.41565272531673642</v>
      </c>
      <c r="G21" s="75">
        <f>IF(F21&lt;0,0,$C$4*Input!$C$26/36*3)</f>
        <v>0</v>
      </c>
      <c r="H21" s="31">
        <f t="shared" si="0"/>
        <v>11841.530491548503</v>
      </c>
      <c r="I21" s="38">
        <f t="shared" si="4"/>
        <v>2.9323107959118738E-3</v>
      </c>
      <c r="J21" s="75">
        <f t="shared" si="5"/>
        <v>0</v>
      </c>
      <c r="K21" s="77">
        <f t="shared" si="1"/>
        <v>0</v>
      </c>
      <c r="L21" s="46">
        <f t="shared" si="2"/>
        <v>0</v>
      </c>
      <c r="N21" s="6"/>
    </row>
    <row r="22" spans="2:14" x14ac:dyDescent="0.25">
      <c r="B22" s="20" t="str">
        <f>+'County Data'!$B$32</f>
        <v>Malheur</v>
      </c>
      <c r="C22" s="15">
        <f>VLOOKUP($B22,'County Data'!$B$10:$P$46,2,FALSE)</f>
        <v>31995</v>
      </c>
      <c r="D22" s="47">
        <v>489035</v>
      </c>
      <c r="E22" s="47">
        <f>VLOOKUP($B22,'County Data'!$B$10:$P$46,11,FALSE)</f>
        <v>474185</v>
      </c>
      <c r="F22" s="38">
        <f t="shared" si="3"/>
        <v>-3.0365924729313851E-2</v>
      </c>
      <c r="G22" s="75">
        <f>IF(F22&lt;0,0,$C$4*Input!$C$26/36)</f>
        <v>0</v>
      </c>
      <c r="H22" s="31">
        <f t="shared" si="0"/>
        <v>0</v>
      </c>
      <c r="I22" s="38">
        <f t="shared" si="4"/>
        <v>0</v>
      </c>
      <c r="J22" s="75">
        <f t="shared" si="5"/>
        <v>0</v>
      </c>
      <c r="K22" s="77">
        <f t="shared" si="1"/>
        <v>0</v>
      </c>
      <c r="L22" s="46">
        <f t="shared" si="2"/>
        <v>0</v>
      </c>
      <c r="N22" s="158"/>
    </row>
    <row r="23" spans="2:14" x14ac:dyDescent="0.25">
      <c r="B23" s="20" t="str">
        <f>+'County Data'!$B$13</f>
        <v>Clatsop</v>
      </c>
      <c r="C23" s="15">
        <f>VLOOKUP($B23,'County Data'!$B$10:$P$46,2,FALSE)</f>
        <v>41428</v>
      </c>
      <c r="D23" s="47">
        <v>431075</v>
      </c>
      <c r="E23" s="47">
        <f>VLOOKUP($B23,'County Data'!$B$10:$P$46,11,FALSE)</f>
        <v>446000</v>
      </c>
      <c r="F23" s="38">
        <f t="shared" si="3"/>
        <v>3.4622745461926577E-2</v>
      </c>
      <c r="G23" s="75">
        <f>IF(F23&lt;0,0,$C$4*Input!$C$26/36)</f>
        <v>0</v>
      </c>
      <c r="H23" s="31">
        <f t="shared" si="0"/>
        <v>1434.3510989966942</v>
      </c>
      <c r="I23" s="38">
        <f t="shared" si="4"/>
        <v>3.5518746632607441E-4</v>
      </c>
      <c r="J23" s="75">
        <f t="shared" si="5"/>
        <v>0</v>
      </c>
      <c r="K23" s="77">
        <f t="shared" si="1"/>
        <v>0</v>
      </c>
      <c r="L23" s="46">
        <f t="shared" si="2"/>
        <v>0</v>
      </c>
      <c r="N23" s="6"/>
    </row>
    <row r="24" spans="2:14" x14ac:dyDescent="0.25">
      <c r="B24" s="20" t="str">
        <f>+'County Data'!$B$30</f>
        <v>Lincoln</v>
      </c>
      <c r="C24" s="15">
        <f>VLOOKUP($B24,'County Data'!$B$10:$P$46,2,FALSE)</f>
        <v>50903</v>
      </c>
      <c r="D24" s="47">
        <v>307500</v>
      </c>
      <c r="E24" s="47">
        <f>VLOOKUP($B24,'County Data'!$B$10:$P$46,11,FALSE)</f>
        <v>1458472</v>
      </c>
      <c r="F24" s="38">
        <f t="shared" si="3"/>
        <v>3.74299837398374</v>
      </c>
      <c r="G24" s="75">
        <f>IF(F24&lt;0,0,$C$4*Input!$C$26/36)</f>
        <v>0</v>
      </c>
      <c r="H24" s="31">
        <f t="shared" si="0"/>
        <v>190529.84623089433</v>
      </c>
      <c r="I24" s="38">
        <f t="shared" si="4"/>
        <v>4.7180786761054992E-2</v>
      </c>
      <c r="J24" s="75">
        <f t="shared" si="5"/>
        <v>0</v>
      </c>
      <c r="K24" s="77">
        <f t="shared" si="1"/>
        <v>0</v>
      </c>
      <c r="L24" s="46">
        <f t="shared" si="2"/>
        <v>0</v>
      </c>
      <c r="N24" s="6"/>
    </row>
    <row r="25" spans="2:14" x14ac:dyDescent="0.25">
      <c r="B25" s="20" t="str">
        <f>+'County Data'!$B$14</f>
        <v>Columbia</v>
      </c>
      <c r="C25" s="15">
        <f>VLOOKUP($B25,'County Data'!$B$10:$P$46,2,FALSE)</f>
        <v>53014</v>
      </c>
      <c r="D25" s="47">
        <v>144489</v>
      </c>
      <c r="E25" s="47">
        <f>VLOOKUP($B25,'County Data'!$B$10:$P$46,11,FALSE)</f>
        <v>615328</v>
      </c>
      <c r="F25" s="38">
        <f t="shared" si="3"/>
        <v>3.258649447362775</v>
      </c>
      <c r="G25" s="75">
        <f>IF(F25&lt;0,0,$C$4*Input!$C$26/36)</f>
        <v>0</v>
      </c>
      <c r="H25" s="31">
        <f t="shared" si="0"/>
        <v>172754.04180249016</v>
      </c>
      <c r="I25" s="38">
        <f t="shared" si="4"/>
        <v>4.2778975418456204E-2</v>
      </c>
      <c r="J25" s="75">
        <f t="shared" si="5"/>
        <v>0</v>
      </c>
      <c r="K25" s="77">
        <f t="shared" si="1"/>
        <v>0</v>
      </c>
      <c r="L25" s="46">
        <f t="shared" si="2"/>
        <v>0</v>
      </c>
      <c r="N25" s="6"/>
    </row>
    <row r="26" spans="2:14" x14ac:dyDescent="0.25">
      <c r="B26" s="20" t="str">
        <f>+'County Data'!$B$15</f>
        <v>Coos</v>
      </c>
      <c r="C26" s="15">
        <f>VLOOKUP($B26,'County Data'!$B$10:$P$46,2,FALSE)</f>
        <v>65154</v>
      </c>
      <c r="D26" s="47">
        <v>52178</v>
      </c>
      <c r="E26" s="47">
        <f>VLOOKUP($B26,'County Data'!$B$10:$P$46,11,FALSE)</f>
        <v>332653</v>
      </c>
      <c r="F26" s="38">
        <f t="shared" si="3"/>
        <v>5.3753497642684653</v>
      </c>
      <c r="G26" s="75">
        <f>IF(F26&lt;0,0,$C$4*Input!$C$26/36)</f>
        <v>0</v>
      </c>
      <c r="H26" s="31">
        <f t="shared" si="0"/>
        <v>350225.5385411476</v>
      </c>
      <c r="I26" s="38">
        <f t="shared" si="4"/>
        <v>8.6726131254842673E-2</v>
      </c>
      <c r="J26" s="75">
        <f t="shared" si="5"/>
        <v>0</v>
      </c>
      <c r="K26" s="77">
        <f t="shared" si="1"/>
        <v>0</v>
      </c>
      <c r="L26" s="46">
        <f t="shared" si="2"/>
        <v>0</v>
      </c>
      <c r="N26" s="6"/>
    </row>
    <row r="27" spans="2:14" x14ac:dyDescent="0.25">
      <c r="B27" s="20" t="str">
        <f>+'County Data'!$B$27</f>
        <v>Klamath</v>
      </c>
      <c r="C27" s="15">
        <f>VLOOKUP($B27,'County Data'!$B$10:$P$46,2,FALSE)</f>
        <v>69822</v>
      </c>
      <c r="D27" s="47">
        <v>232280</v>
      </c>
      <c r="E27" s="47">
        <f>VLOOKUP($B27,'County Data'!$B$10:$P$46,11,FALSE)</f>
        <v>542426</v>
      </c>
      <c r="F27" s="38">
        <f t="shared" si="3"/>
        <v>1.3352247287756156</v>
      </c>
      <c r="G27" s="75">
        <f>IF(F27&lt;0,0,$C$4*Input!$C$26/36)</f>
        <v>0</v>
      </c>
      <c r="H27" s="31">
        <f t="shared" si="0"/>
        <v>93228.061012571037</v>
      </c>
      <c r="I27" s="38">
        <f t="shared" si="4"/>
        <v>2.3086006490816723E-2</v>
      </c>
      <c r="J27" s="75">
        <f t="shared" si="5"/>
        <v>0</v>
      </c>
      <c r="K27" s="77">
        <f t="shared" si="1"/>
        <v>0</v>
      </c>
      <c r="L27" s="46">
        <f t="shared" si="2"/>
        <v>0</v>
      </c>
      <c r="N27" s="6"/>
    </row>
    <row r="28" spans="2:14" x14ac:dyDescent="0.25">
      <c r="B28" s="20" t="str">
        <f>+'County Data'!$B$40</f>
        <v>Umatilla</v>
      </c>
      <c r="C28" s="15">
        <f>VLOOKUP($B28,'County Data'!$B$10:$P$46,2,FALSE)</f>
        <v>80463</v>
      </c>
      <c r="D28" s="47">
        <v>386278</v>
      </c>
      <c r="E28" s="47">
        <f>VLOOKUP($B28,'County Data'!$B$10:$P$46,11,FALSE)</f>
        <v>532317</v>
      </c>
      <c r="F28" s="38">
        <f t="shared" si="3"/>
        <v>0.37806709157653295</v>
      </c>
      <c r="G28" s="75">
        <f>IF(F28&lt;0,0,$C$4*Input!$C$26/36)</f>
        <v>0</v>
      </c>
      <c r="H28" s="31">
        <f t="shared" si="0"/>
        <v>30420.412389522571</v>
      </c>
      <c r="I28" s="38">
        <f t="shared" si="4"/>
        <v>7.5329877104613613E-3</v>
      </c>
      <c r="J28" s="75">
        <f t="shared" si="5"/>
        <v>0</v>
      </c>
      <c r="K28" s="77">
        <f t="shared" si="1"/>
        <v>0</v>
      </c>
      <c r="L28" s="46">
        <f t="shared" si="2"/>
        <v>0</v>
      </c>
      <c r="N28" s="6"/>
    </row>
    <row r="29" spans="2:14" x14ac:dyDescent="0.25">
      <c r="B29" s="20" t="str">
        <f>+'County Data'!$B$37</f>
        <v>Polk</v>
      </c>
      <c r="C29" s="15">
        <f>VLOOKUP($B29,'County Data'!$B$10:$P$46,2,FALSE)</f>
        <v>88916</v>
      </c>
      <c r="D29" s="47">
        <v>251759</v>
      </c>
      <c r="E29" s="47">
        <f>VLOOKUP($B29,'County Data'!$B$10:$P$46,11,FALSE)</f>
        <v>291010</v>
      </c>
      <c r="F29" s="38">
        <f t="shared" si="3"/>
        <v>0.15590703808006864</v>
      </c>
      <c r="G29" s="75">
        <f>IF(F29&lt;0,0,$C$4*Input!$C$26/36)</f>
        <v>0</v>
      </c>
      <c r="H29" s="31">
        <f t="shared" si="0"/>
        <v>13862.630197927383</v>
      </c>
      <c r="I29" s="38">
        <f t="shared" si="4"/>
        <v>3.4327944532278722E-3</v>
      </c>
      <c r="J29" s="75">
        <f t="shared" si="5"/>
        <v>0</v>
      </c>
      <c r="K29" s="77">
        <f t="shared" si="1"/>
        <v>0</v>
      </c>
      <c r="L29" s="46">
        <f t="shared" si="2"/>
        <v>0</v>
      </c>
      <c r="N29" s="6"/>
    </row>
    <row r="30" spans="2:14" x14ac:dyDescent="0.25">
      <c r="B30" s="20" t="str">
        <f>+'County Data'!$B$26</f>
        <v>Josephine</v>
      </c>
      <c r="C30" s="15">
        <f>VLOOKUP($B30,'County Data'!$B$10:$P$46,2,FALSE)</f>
        <v>88728</v>
      </c>
      <c r="D30" s="47">
        <v>364715</v>
      </c>
      <c r="E30" s="47">
        <f>VLOOKUP($B30,'County Data'!$B$10:$P$46,11,FALSE)</f>
        <v>657998</v>
      </c>
      <c r="F30" s="38">
        <f t="shared" si="3"/>
        <v>0.80414296094210547</v>
      </c>
      <c r="G30" s="75">
        <f>IF(F30&lt;0,0,$C$4*Input!$C$26/36)</f>
        <v>0</v>
      </c>
      <c r="H30" s="31">
        <f t="shared" si="0"/>
        <v>71349.99663847113</v>
      </c>
      <c r="I30" s="38">
        <f t="shared" si="4"/>
        <v>1.7668355081346017E-2</v>
      </c>
      <c r="J30" s="75">
        <f t="shared" si="5"/>
        <v>0</v>
      </c>
      <c r="K30" s="77">
        <f t="shared" si="1"/>
        <v>0</v>
      </c>
      <c r="L30" s="46">
        <f t="shared" si="2"/>
        <v>0</v>
      </c>
      <c r="N30" s="6"/>
    </row>
    <row r="31" spans="2:14" x14ac:dyDescent="0.25">
      <c r="B31" s="20" t="str">
        <f>+'County Data'!$B$11</f>
        <v>Benton</v>
      </c>
      <c r="C31" s="15">
        <f>VLOOKUP($B31,'County Data'!$B$10:$P$46,2,FALSE)</f>
        <v>93976</v>
      </c>
      <c r="D31" s="47">
        <v>2090815</v>
      </c>
      <c r="E31" s="47">
        <f>VLOOKUP($B31,'County Data'!$B$10:$P$46,11,FALSE)</f>
        <v>1791995</v>
      </c>
      <c r="F31" s="38">
        <f t="shared" si="3"/>
        <v>-0.14292034445897892</v>
      </c>
      <c r="G31" s="75">
        <f>IF(F31&lt;0,0,$C$4*Input!$C$26/36)</f>
        <v>0</v>
      </c>
      <c r="H31" s="31">
        <f t="shared" si="0"/>
        <v>0</v>
      </c>
      <c r="I31" s="38">
        <f t="shared" si="4"/>
        <v>0</v>
      </c>
      <c r="J31" s="75">
        <f t="shared" si="5"/>
        <v>0</v>
      </c>
      <c r="K31" s="77">
        <f t="shared" si="1"/>
        <v>0</v>
      </c>
      <c r="L31" s="46">
        <f t="shared" si="2"/>
        <v>0</v>
      </c>
      <c r="N31" s="158"/>
    </row>
    <row r="32" spans="2:14" x14ac:dyDescent="0.25">
      <c r="B32" s="20" t="str">
        <f>+'County Data'!$B$46</f>
        <v>Yamhill</v>
      </c>
      <c r="C32" s="15">
        <f>VLOOKUP($B32,'County Data'!$B$10:$P$46,2,FALSE)</f>
        <v>108261</v>
      </c>
      <c r="D32" s="47">
        <v>650791</v>
      </c>
      <c r="E32" s="47">
        <f>VLOOKUP($B32,'County Data'!$B$10:$P$46,11,FALSE)</f>
        <v>1553242</v>
      </c>
      <c r="F32" s="38">
        <f t="shared" si="3"/>
        <v>1.3866986482603478</v>
      </c>
      <c r="G32" s="75">
        <f>IF(F32&lt;0,0,$C$4*Input!$C$26/36)</f>
        <v>0</v>
      </c>
      <c r="H32" s="31">
        <f t="shared" si="0"/>
        <v>150125.38235931352</v>
      </c>
      <c r="I32" s="38">
        <f t="shared" si="4"/>
        <v>3.7175454621072947E-2</v>
      </c>
      <c r="J32" s="75">
        <f t="shared" si="5"/>
        <v>0</v>
      </c>
      <c r="K32" s="77">
        <f t="shared" si="1"/>
        <v>0</v>
      </c>
      <c r="L32" s="46">
        <f t="shared" si="2"/>
        <v>0</v>
      </c>
      <c r="N32" s="6"/>
    </row>
    <row r="33" spans="2:14" x14ac:dyDescent="0.25">
      <c r="B33" s="20" t="str">
        <f>+'County Data'!$B$19</f>
        <v>Douglas</v>
      </c>
      <c r="C33" s="15">
        <f>VLOOKUP($B33,'County Data'!$B$10:$P$46,2,FALSE)</f>
        <v>111694</v>
      </c>
      <c r="D33" s="47">
        <v>671902</v>
      </c>
      <c r="E33" s="47">
        <f>VLOOKUP($B33,'County Data'!$B$10:$P$46,11,FALSE)</f>
        <v>444652</v>
      </c>
      <c r="F33" s="38">
        <f t="shared" si="3"/>
        <v>-0.33821896645641775</v>
      </c>
      <c r="G33" s="75">
        <f>IF(F33&lt;0,0,$C$4*Input!$C$26/36)</f>
        <v>0</v>
      </c>
      <c r="H33" s="31">
        <f t="shared" si="0"/>
        <v>0</v>
      </c>
      <c r="I33" s="38">
        <f t="shared" si="4"/>
        <v>0</v>
      </c>
      <c r="J33" s="75">
        <f t="shared" si="5"/>
        <v>0</v>
      </c>
      <c r="K33" s="77">
        <f t="shared" si="1"/>
        <v>0</v>
      </c>
      <c r="L33" s="46">
        <f t="shared" si="2"/>
        <v>0</v>
      </c>
      <c r="N33" s="158"/>
    </row>
    <row r="34" spans="2:14" x14ac:dyDescent="0.25">
      <c r="B34" s="20" t="str">
        <f>+'County Data'!$B$31</f>
        <v>Linn</v>
      </c>
      <c r="C34" s="15">
        <f>VLOOKUP($B34,'County Data'!$B$10:$P$46,2,FALSE)</f>
        <v>130440</v>
      </c>
      <c r="D34" s="47">
        <v>651346</v>
      </c>
      <c r="E34" s="47">
        <f>VLOOKUP($B34,'County Data'!$B$10:$P$46,11,FALSE)</f>
        <v>1327242</v>
      </c>
      <c r="F34" s="38">
        <f t="shared" si="3"/>
        <v>1.0376911810312799</v>
      </c>
      <c r="G34" s="75">
        <f>IF(F34&lt;0,0,$C$4*Input!$C$26/36)</f>
        <v>0</v>
      </c>
      <c r="H34" s="31">
        <f t="shared" si="0"/>
        <v>135356.43765372015</v>
      </c>
      <c r="I34" s="38">
        <f t="shared" si="4"/>
        <v>3.3518230072662927E-2</v>
      </c>
      <c r="J34" s="75">
        <f t="shared" si="5"/>
        <v>0</v>
      </c>
      <c r="K34" s="77">
        <f t="shared" si="1"/>
        <v>0</v>
      </c>
      <c r="L34" s="46">
        <f t="shared" si="2"/>
        <v>0</v>
      </c>
      <c r="N34" s="6"/>
    </row>
    <row r="35" spans="2:14" x14ac:dyDescent="0.25">
      <c r="B35" s="20" t="str">
        <f>+'County Data'!$B$18</f>
        <v>Deschutes</v>
      </c>
      <c r="C35" s="15">
        <f>VLOOKUP($B35,'County Data'!$B$10:$P$46,2,FALSE)</f>
        <v>203390</v>
      </c>
      <c r="D35" s="47">
        <v>2968217</v>
      </c>
      <c r="E35" s="47">
        <f>VLOOKUP($B35,'County Data'!$B$10:$P$46,11,FALSE)</f>
        <v>3814900</v>
      </c>
      <c r="F35" s="38">
        <f t="shared" si="3"/>
        <v>0.28524969704034442</v>
      </c>
      <c r="G35" s="75">
        <f>IF(F35&lt;0,0,$C$4*Input!$C$26/36)</f>
        <v>0</v>
      </c>
      <c r="H35" s="31">
        <f t="shared" si="0"/>
        <v>58016.93588103565</v>
      </c>
      <c r="I35" s="38">
        <f t="shared" si="4"/>
        <v>1.4366697577741989E-2</v>
      </c>
      <c r="J35" s="75">
        <f t="shared" si="5"/>
        <v>0</v>
      </c>
      <c r="K35" s="77">
        <f t="shared" si="1"/>
        <v>0</v>
      </c>
      <c r="L35" s="46">
        <f t="shared" si="2"/>
        <v>0</v>
      </c>
      <c r="N35" s="6"/>
    </row>
    <row r="36" spans="2:14" x14ac:dyDescent="0.25">
      <c r="B36" s="20" t="str">
        <f>+'County Data'!$B$24</f>
        <v>Jackson</v>
      </c>
      <c r="C36" s="15">
        <f>VLOOKUP($B36,'County Data'!$B$10:$P$46,2,FALSE)</f>
        <v>223827</v>
      </c>
      <c r="D36" s="47">
        <v>670465</v>
      </c>
      <c r="E36" s="47">
        <f>VLOOKUP($B36,'County Data'!$B$10:$P$46,11,FALSE)</f>
        <v>2298330</v>
      </c>
      <c r="F36" s="38">
        <f t="shared" si="3"/>
        <v>2.4279641741179629</v>
      </c>
      <c r="G36" s="75">
        <f>IF(F36&lt;0,0,$C$4*Input!$C$26/36)</f>
        <v>0</v>
      </c>
      <c r="H36" s="31">
        <f t="shared" si="0"/>
        <v>543443.93720030133</v>
      </c>
      <c r="I36" s="38">
        <f t="shared" si="4"/>
        <v>0.13457268257364524</v>
      </c>
      <c r="J36" s="75">
        <f t="shared" si="5"/>
        <v>0</v>
      </c>
      <c r="K36" s="77">
        <f t="shared" si="1"/>
        <v>0</v>
      </c>
      <c r="L36" s="46">
        <f t="shared" si="2"/>
        <v>0</v>
      </c>
      <c r="N36" s="6"/>
    </row>
    <row r="37" spans="2:14" x14ac:dyDescent="0.25">
      <c r="B37" s="20" t="str">
        <f>+'County Data'!$B$33</f>
        <v>Marion</v>
      </c>
      <c r="C37" s="15">
        <f>VLOOKUP($B37,'County Data'!$B$10:$P$46,2,FALSE)</f>
        <v>347182</v>
      </c>
      <c r="D37" s="47">
        <v>2152253</v>
      </c>
      <c r="E37" s="47">
        <f>VLOOKUP($B37,'County Data'!$B$10:$P$46,11,FALSE)</f>
        <v>4647307</v>
      </c>
      <c r="F37" s="38">
        <f t="shared" si="3"/>
        <v>1.1592754197578072</v>
      </c>
      <c r="G37" s="75">
        <f>IF(F37&lt;0,0,$C$4*Input!$C$26/36)</f>
        <v>0</v>
      </c>
      <c r="H37" s="31">
        <f t="shared" si="0"/>
        <v>402479.55878235504</v>
      </c>
      <c r="I37" s="38">
        <f t="shared" si="4"/>
        <v>9.966576163390975E-2</v>
      </c>
      <c r="J37" s="75">
        <f t="shared" si="5"/>
        <v>0</v>
      </c>
      <c r="K37" s="77">
        <f t="shared" si="1"/>
        <v>0</v>
      </c>
      <c r="L37" s="46">
        <f t="shared" si="2"/>
        <v>0</v>
      </c>
      <c r="N37" s="6"/>
    </row>
    <row r="38" spans="2:14" x14ac:dyDescent="0.25">
      <c r="B38" s="20" t="str">
        <f>+'County Data'!$B$29</f>
        <v>Lane</v>
      </c>
      <c r="C38" s="15">
        <f>VLOOKUP($B38,'County Data'!$B$10:$P$46,2,FALSE)</f>
        <v>382647</v>
      </c>
      <c r="D38" s="47">
        <v>1716536</v>
      </c>
      <c r="E38" s="47">
        <f>VLOOKUP($B38,'County Data'!$B$10:$P$46,11,FALSE)</f>
        <v>4024080</v>
      </c>
      <c r="F38" s="38">
        <f t="shared" si="3"/>
        <v>1.3443027119734163</v>
      </c>
      <c r="G38" s="75">
        <f>IF(F38&lt;0,0,$C$4*Input!$C$26/36)</f>
        <v>0</v>
      </c>
      <c r="H38" s="31">
        <f t="shared" si="0"/>
        <v>514393.39982849185</v>
      </c>
      <c r="I38" s="38">
        <f t="shared" si="4"/>
        <v>0.12737891615779245</v>
      </c>
      <c r="J38" s="75">
        <f t="shared" si="5"/>
        <v>0</v>
      </c>
      <c r="K38" s="77">
        <f t="shared" si="1"/>
        <v>0</v>
      </c>
      <c r="L38" s="46">
        <f t="shared" si="2"/>
        <v>0</v>
      </c>
      <c r="N38" s="6"/>
    </row>
    <row r="39" spans="2:14" x14ac:dyDescent="0.25">
      <c r="B39" s="20" t="str">
        <f>+'County Data'!$B$12</f>
        <v>Clackamas</v>
      </c>
      <c r="C39" s="15">
        <f>VLOOKUP($B39,'County Data'!$B$10:$P$46,2,FALSE)</f>
        <v>425316</v>
      </c>
      <c r="D39" s="47">
        <v>1965745</v>
      </c>
      <c r="E39" s="47">
        <f>VLOOKUP($B39,'County Data'!$B$10:$P$46,11,FALSE)</f>
        <v>5019520</v>
      </c>
      <c r="F39" s="38">
        <f t="shared" si="3"/>
        <v>1.5534949853617839</v>
      </c>
      <c r="G39" s="75">
        <f>IF(F39&lt;0,0,$C$4*Input!$C$26/36)</f>
        <v>0</v>
      </c>
      <c r="H39" s="31">
        <f t="shared" si="0"/>
        <v>660726.27319413249</v>
      </c>
      <c r="I39" s="38">
        <f t="shared" si="4"/>
        <v>0.16361523414668117</v>
      </c>
      <c r="J39" s="75">
        <f t="shared" si="5"/>
        <v>0</v>
      </c>
      <c r="K39" s="77">
        <f t="shared" si="1"/>
        <v>0</v>
      </c>
      <c r="L39" s="46">
        <f t="shared" si="2"/>
        <v>0</v>
      </c>
      <c r="N39" s="6"/>
    </row>
    <row r="40" spans="2:14" x14ac:dyDescent="0.25">
      <c r="B40" s="20" t="str">
        <f>+'County Data'!$B$44</f>
        <v>Washington</v>
      </c>
      <c r="C40" s="15">
        <f>VLOOKUP($B40,'County Data'!$B$10:$P$46,2,FALSE)</f>
        <v>605036</v>
      </c>
      <c r="D40" s="47">
        <v>4800731</v>
      </c>
      <c r="E40" s="47">
        <f>VLOOKUP($B40,'County Data'!$B$10:$P$46,11,FALSE)</f>
        <v>8674852</v>
      </c>
      <c r="F40" s="38">
        <f t="shared" si="3"/>
        <v>0.806985644477893</v>
      </c>
      <c r="G40" s="75">
        <f>IF(F40&lt;0,0,$C$4*Input!$C$26/36)</f>
        <v>0</v>
      </c>
      <c r="H40" s="31">
        <f t="shared" si="0"/>
        <v>488255.36639232648</v>
      </c>
      <c r="I40" s="38">
        <f t="shared" si="4"/>
        <v>0.1209063712715148</v>
      </c>
      <c r="J40" s="75">
        <f t="shared" si="5"/>
        <v>0</v>
      </c>
      <c r="K40" s="77">
        <f t="shared" si="1"/>
        <v>0</v>
      </c>
      <c r="L40" s="46">
        <f t="shared" si="2"/>
        <v>0</v>
      </c>
      <c r="N40" s="6"/>
    </row>
    <row r="41" spans="2:14" x14ac:dyDescent="0.25">
      <c r="B41" s="20" t="str">
        <f>+'County Data'!$B$35</f>
        <v>Multnomah</v>
      </c>
      <c r="C41" s="15">
        <f>VLOOKUP($B41,'County Data'!$B$10:$P$46,2,FALSE)</f>
        <v>0</v>
      </c>
      <c r="D41" s="47">
        <v>43542723</v>
      </c>
      <c r="E41" s="47">
        <f>VLOOKUP($B41,'County Data'!$B$10:$P$46,11,FALSE)</f>
        <v>25329190</v>
      </c>
      <c r="F41" s="38">
        <f t="shared" si="3"/>
        <v>-0.41829108850174573</v>
      </c>
      <c r="G41" s="75">
        <f>IF(F41&lt;0,0,$C$4*Input!$C$26/36)</f>
        <v>0</v>
      </c>
      <c r="H41" s="31">
        <f t="shared" si="0"/>
        <v>0</v>
      </c>
      <c r="I41" s="38">
        <f t="shared" si="4"/>
        <v>0</v>
      </c>
      <c r="J41" s="75">
        <f t="shared" si="5"/>
        <v>0</v>
      </c>
      <c r="K41" s="77">
        <f t="shared" si="1"/>
        <v>0</v>
      </c>
      <c r="L41" s="46" t="e">
        <f t="shared" si="2"/>
        <v>#DIV/0!</v>
      </c>
      <c r="N41" s="158"/>
    </row>
    <row r="42" spans="2:14" x14ac:dyDescent="0.25">
      <c r="B42" s="4" t="s">
        <v>2</v>
      </c>
      <c r="C42" s="5">
        <f>SUM(C7:C41)</f>
        <v>3445888</v>
      </c>
      <c r="D42" s="74">
        <f>SUM(D7:D41)</f>
        <v>68747851</v>
      </c>
      <c r="E42" s="74">
        <f>SUM(E7:E41)</f>
        <v>70042552</v>
      </c>
      <c r="F42" s="21">
        <f t="shared" si="3"/>
        <v>1.8832603218390056E-2</v>
      </c>
      <c r="G42" s="74">
        <f>SUM(G7:G41)</f>
        <v>0</v>
      </c>
      <c r="H42" s="5">
        <f>SUM(H7:H41)</f>
        <v>4038293.1127415127</v>
      </c>
      <c r="I42" s="21">
        <f>SUM(I7:I41)</f>
        <v>1.0000000000000002</v>
      </c>
      <c r="J42" s="74">
        <f>SUM(J7:J41)</f>
        <v>0</v>
      </c>
      <c r="K42" s="74">
        <f t="shared" ref="K42" si="6">SUM(K7:K41)</f>
        <v>0</v>
      </c>
      <c r="L42" s="73">
        <f>K42/C42</f>
        <v>0</v>
      </c>
    </row>
  </sheetData>
  <sortState xmlns:xlrd2="http://schemas.microsoft.com/office/spreadsheetml/2017/richdata2" ref="B7:H41">
    <sortCondition ref="C7:C41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3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5.7109375" bestFit="1" customWidth="1"/>
    <col min="5" max="5" width="11.5703125" bestFit="1" customWidth="1"/>
    <col min="6" max="6" width="10.7109375" bestFit="1" customWidth="1"/>
    <col min="7" max="7" width="11.5703125" bestFit="1" customWidth="1"/>
    <col min="8" max="8" width="10" bestFit="1" customWidth="1"/>
    <col min="9" max="10" width="9.140625" hidden="1" customWidth="1"/>
    <col min="11" max="12" width="10.7109375" hidden="1" customWidth="1"/>
    <col min="13" max="15" width="9.140625" hidden="1" customWidth="1"/>
    <col min="16" max="17" width="10.7109375" hidden="1" customWidth="1"/>
    <col min="18" max="20" width="9.140625" hidden="1" customWidth="1"/>
    <col min="21" max="22" width="10.7109375" hidden="1" customWidth="1"/>
    <col min="23" max="23" width="9.140625" hidden="1" customWidth="1"/>
    <col min="24" max="24" width="11.140625" bestFit="1" customWidth="1"/>
    <col min="25" max="25" width="10.5703125" bestFit="1" customWidth="1"/>
  </cols>
  <sheetData>
    <row r="2" spans="2:25" x14ac:dyDescent="0.25">
      <c r="B2" t="s">
        <v>0</v>
      </c>
      <c r="C2" s="1">
        <f>'County Data'!C5</f>
        <v>14500000</v>
      </c>
    </row>
    <row r="3" spans="2:25" x14ac:dyDescent="0.25">
      <c r="B3" t="s">
        <v>41</v>
      </c>
      <c r="C3" s="14">
        <f>$C$2*Input!$C$28</f>
        <v>0</v>
      </c>
    </row>
    <row r="4" spans="2:25" x14ac:dyDescent="0.25">
      <c r="D4" s="22"/>
      <c r="E4" s="72">
        <f>Input!$D$31</f>
        <v>1</v>
      </c>
      <c r="J4" s="72">
        <f>Input!$D$32</f>
        <v>0</v>
      </c>
      <c r="O4" s="72">
        <f>Input!$D$33</f>
        <v>0</v>
      </c>
      <c r="T4" s="72">
        <f>Input!$D$34</f>
        <v>0</v>
      </c>
    </row>
    <row r="5" spans="2:25" x14ac:dyDescent="0.25">
      <c r="D5" s="220" t="s">
        <v>93</v>
      </c>
      <c r="E5" s="220"/>
      <c r="F5" s="220"/>
      <c r="G5" s="220"/>
      <c r="H5" s="220"/>
      <c r="I5" s="221" t="s">
        <v>97</v>
      </c>
      <c r="J5" s="221"/>
      <c r="K5" s="221"/>
      <c r="L5" s="221"/>
      <c r="M5" s="221"/>
      <c r="N5" s="220" t="s">
        <v>98</v>
      </c>
      <c r="O5" s="220"/>
      <c r="P5" s="220"/>
      <c r="Q5" s="220"/>
      <c r="R5" s="220"/>
      <c r="S5" s="221" t="s">
        <v>99</v>
      </c>
      <c r="T5" s="221"/>
      <c r="U5" s="221"/>
      <c r="V5" s="221"/>
      <c r="W5" s="221"/>
    </row>
    <row r="6" spans="2:25" s="2" customFormat="1" ht="30" x14ac:dyDescent="0.25">
      <c r="B6" s="3" t="s">
        <v>7</v>
      </c>
      <c r="C6" s="3" t="s">
        <v>1</v>
      </c>
      <c r="D6" s="3" t="s">
        <v>94</v>
      </c>
      <c r="E6" s="3" t="s">
        <v>95</v>
      </c>
      <c r="F6" s="3" t="s">
        <v>104</v>
      </c>
      <c r="G6" s="3" t="s">
        <v>105</v>
      </c>
      <c r="H6" s="3" t="s">
        <v>96</v>
      </c>
      <c r="I6" s="3" t="s">
        <v>94</v>
      </c>
      <c r="J6" s="3" t="s">
        <v>95</v>
      </c>
      <c r="K6" s="3" t="s">
        <v>104</v>
      </c>
      <c r="L6" s="3" t="s">
        <v>105</v>
      </c>
      <c r="M6" s="3" t="s">
        <v>96</v>
      </c>
      <c r="N6" s="3" t="s">
        <v>94</v>
      </c>
      <c r="O6" s="3" t="s">
        <v>95</v>
      </c>
      <c r="P6" s="3" t="s">
        <v>104</v>
      </c>
      <c r="Q6" s="3" t="s">
        <v>105</v>
      </c>
      <c r="R6" s="3" t="s">
        <v>96</v>
      </c>
      <c r="S6" s="3" t="s">
        <v>94</v>
      </c>
      <c r="T6" s="3" t="s">
        <v>95</v>
      </c>
      <c r="U6" s="3" t="s">
        <v>104</v>
      </c>
      <c r="V6" s="3" t="s">
        <v>105</v>
      </c>
      <c r="W6" s="3" t="s">
        <v>96</v>
      </c>
      <c r="X6" s="13" t="s">
        <v>106</v>
      </c>
      <c r="Y6" s="3" t="s">
        <v>107</v>
      </c>
    </row>
    <row r="7" spans="2:25" x14ac:dyDescent="0.25">
      <c r="B7" s="20" t="str">
        <f>'County Data'!$B$45</f>
        <v>Wheeler</v>
      </c>
      <c r="C7" s="15">
        <f>VLOOKUP($B7,'County Data'!$B$10:$P$46,2,FALSE)</f>
        <v>1456</v>
      </c>
      <c r="D7" s="26" t="str">
        <f>VLOOKUP($B7,'County Data'!$B$9:$P$46,12,FALSE)</f>
        <v>Y</v>
      </c>
      <c r="E7" s="75">
        <f>IF(D7="Y",$C$3*Input!$C$29/36*E$4,0)</f>
        <v>0</v>
      </c>
      <c r="F7" s="15">
        <f>IF(D7="Y",$C7,0)</f>
        <v>1456</v>
      </c>
      <c r="G7" s="75">
        <f>ROUND(($C$3*E$4-E$42)*(F7/F$42),2)</f>
        <v>0</v>
      </c>
      <c r="H7" s="76">
        <f>E7+G7</f>
        <v>0</v>
      </c>
      <c r="I7" s="26">
        <f>VLOOKUP($B7,'County Data'!$B$9:$P$46,13,FALSE)</f>
        <v>0</v>
      </c>
      <c r="J7" s="47">
        <f>IF(I7="Y",$C$3*Input!$C$29/36*J$4,0)</f>
        <v>0</v>
      </c>
      <c r="K7" s="15">
        <f>IF(I7="Y",$C7,0)</f>
        <v>0</v>
      </c>
      <c r="L7" s="75">
        <f>ROUND(($C$3*J$4-J$42)*(K7/K$42),2)</f>
        <v>0</v>
      </c>
      <c r="M7" s="76">
        <f>J7+L7</f>
        <v>0</v>
      </c>
      <c r="N7" s="26">
        <f>VLOOKUP($B7,'County Data'!$B$9:$P$46,14,FALSE)</f>
        <v>0</v>
      </c>
      <c r="O7" s="47">
        <f>IF(N7="Y",$C$3*Input!$C$29/36*O$4,0)</f>
        <v>0</v>
      </c>
      <c r="P7" s="15">
        <f>IF(N7="Y",$C7,0)</f>
        <v>0</v>
      </c>
      <c r="Q7" s="75">
        <f>ROUND(($C$3*O$4-O$42)*(P7/P$42),2)</f>
        <v>0</v>
      </c>
      <c r="R7" s="76">
        <f>O7+Q7</f>
        <v>0</v>
      </c>
      <c r="S7" s="26">
        <f>VLOOKUP($B7,'County Data'!$B$9:$P$46,15,FALSE)</f>
        <v>0</v>
      </c>
      <c r="T7" s="47">
        <f>IF(S7="Y",$C$3*Input!$C$29/36*T$4,0)</f>
        <v>0</v>
      </c>
      <c r="U7" s="15">
        <f>IF(S7="Y",$C7,0)</f>
        <v>0</v>
      </c>
      <c r="V7" s="75">
        <f>ROUND(($C$3*T$4-T$42)*(U7/U$42),2)</f>
        <v>0</v>
      </c>
      <c r="W7" s="76">
        <f>T7+V7</f>
        <v>0</v>
      </c>
      <c r="X7" s="77">
        <f>H7+M7+R7+W7</f>
        <v>0</v>
      </c>
      <c r="Y7" s="46">
        <f>X7/C7</f>
        <v>0</v>
      </c>
    </row>
    <row r="8" spans="2:25" x14ac:dyDescent="0.25">
      <c r="B8" s="20" t="s">
        <v>89</v>
      </c>
      <c r="C8" s="15">
        <v>2039</v>
      </c>
      <c r="D8" s="26" t="s">
        <v>4</v>
      </c>
      <c r="E8" s="75">
        <v>0</v>
      </c>
      <c r="F8" s="15">
        <v>1456</v>
      </c>
      <c r="G8" s="75">
        <v>0</v>
      </c>
      <c r="H8" s="76">
        <v>0</v>
      </c>
      <c r="I8" s="26">
        <v>0</v>
      </c>
      <c r="J8" s="47">
        <v>0</v>
      </c>
      <c r="K8" s="15">
        <v>0</v>
      </c>
      <c r="L8" s="75">
        <v>0</v>
      </c>
      <c r="M8" s="76">
        <v>0</v>
      </c>
      <c r="N8" s="26">
        <v>0</v>
      </c>
      <c r="O8" s="47">
        <v>0</v>
      </c>
      <c r="P8" s="15">
        <v>0</v>
      </c>
      <c r="Q8" s="75">
        <v>0</v>
      </c>
      <c r="R8" s="76">
        <v>0</v>
      </c>
      <c r="S8" s="26">
        <v>0</v>
      </c>
      <c r="T8" s="47">
        <v>0</v>
      </c>
      <c r="U8" s="15">
        <v>0</v>
      </c>
      <c r="V8" s="75">
        <v>0</v>
      </c>
      <c r="W8" s="76">
        <v>0</v>
      </c>
      <c r="X8" s="77">
        <v>0</v>
      </c>
      <c r="Y8" s="46">
        <v>0</v>
      </c>
    </row>
    <row r="9" spans="2:25" x14ac:dyDescent="0.25">
      <c r="B9" s="20" t="str">
        <f>+'County Data'!$B$42</f>
        <v>Wallowa</v>
      </c>
      <c r="C9" s="15">
        <f>VLOOKUP($B9,'County Data'!$B$10:$P$46,2,FALSE)</f>
        <v>7433</v>
      </c>
      <c r="D9" s="26" t="str">
        <f>VLOOKUP($B9,'County Data'!$B$9:$P$46,12,FALSE)</f>
        <v>Y</v>
      </c>
      <c r="E9" s="75">
        <f>IF(D9="Y",$C$3*Input!$C$29/36*E$4,0)</f>
        <v>0</v>
      </c>
      <c r="F9" s="15">
        <f t="shared" ref="F9:F41" si="0">IF(D9="Y",$C9,0)</f>
        <v>7433</v>
      </c>
      <c r="G9" s="75">
        <f t="shared" ref="G9:G41" si="1">ROUND(($C$3*E$4-E$42)*(F9/F$42),2)</f>
        <v>0</v>
      </c>
      <c r="H9" s="76">
        <f t="shared" ref="H9:H41" si="2">E9+G9</f>
        <v>0</v>
      </c>
      <c r="I9" s="26">
        <f>VLOOKUP($B9,'County Data'!$B$9:$P$46,13,FALSE)</f>
        <v>0</v>
      </c>
      <c r="J9" s="47">
        <f>IF(I9="Y",$C$3*Input!$C$29/36*J$4,0)</f>
        <v>0</v>
      </c>
      <c r="K9" s="15">
        <f t="shared" ref="K9:K41" si="3">IF(I9="Y",$C9,0)</f>
        <v>0</v>
      </c>
      <c r="L9" s="75">
        <f t="shared" ref="L9:L41" si="4">ROUND(($C$3*J$4-J$42)*(K9/K$42),2)</f>
        <v>0</v>
      </c>
      <c r="M9" s="76">
        <f t="shared" ref="M9:M41" si="5">J9+L9</f>
        <v>0</v>
      </c>
      <c r="N9" s="26">
        <f>VLOOKUP($B9,'County Data'!$B$9:$P$46,14,FALSE)</f>
        <v>0</v>
      </c>
      <c r="O9" s="47">
        <f>IF(N9="Y",$C$3*Input!$C$29/36*O$4,0)</f>
        <v>0</v>
      </c>
      <c r="P9" s="15">
        <f t="shared" ref="P9:P41" si="6">IF(N9="Y",$C9,0)</f>
        <v>0</v>
      </c>
      <c r="Q9" s="75">
        <f t="shared" ref="Q9:Q41" si="7">ROUND(($C$3*O$4-O$42)*(P9/P$42),2)</f>
        <v>0</v>
      </c>
      <c r="R9" s="76">
        <f t="shared" ref="R9:R41" si="8">O9+Q9</f>
        <v>0</v>
      </c>
      <c r="S9" s="26">
        <f>VLOOKUP($B9,'County Data'!$B$9:$P$46,15,FALSE)</f>
        <v>0</v>
      </c>
      <c r="T9" s="47">
        <f>IF(S9="Y",$C$3*Input!$C$29/36*T$4,0)</f>
        <v>0</v>
      </c>
      <c r="U9" s="15">
        <f t="shared" ref="U9:U41" si="9">IF(S9="Y",$C9,0)</f>
        <v>0</v>
      </c>
      <c r="V9" s="75">
        <f t="shared" ref="V9:V41" si="10">ROUND(($C$3*T$4-T$42)*(U9/U$42),2)</f>
        <v>0</v>
      </c>
      <c r="W9" s="76">
        <f t="shared" ref="W9:W41" si="11">T9+V9</f>
        <v>0</v>
      </c>
      <c r="X9" s="77">
        <f t="shared" ref="X9:X41" si="12">H9+M9+R9+W9</f>
        <v>0</v>
      </c>
      <c r="Y9" s="46">
        <f t="shared" ref="Y9:Y42" si="13">X9/C9</f>
        <v>0</v>
      </c>
    </row>
    <row r="10" spans="2:25" x14ac:dyDescent="0.25">
      <c r="B10" s="20" t="str">
        <f>+'County Data'!$B$22</f>
        <v>Harney</v>
      </c>
      <c r="C10" s="15">
        <f>VLOOKUP($B10,'County Data'!$B$10:$P$46,2,FALSE)</f>
        <v>7537</v>
      </c>
      <c r="D10" s="26" t="str">
        <f>VLOOKUP($B10,'County Data'!$B$9:$P$46,12,FALSE)</f>
        <v>Y</v>
      </c>
      <c r="E10" s="75">
        <f>IF(D10="Y",$C$3*Input!$C$29/36*E$4,0)</f>
        <v>0</v>
      </c>
      <c r="F10" s="15">
        <f t="shared" si="0"/>
        <v>7537</v>
      </c>
      <c r="G10" s="75">
        <f t="shared" si="1"/>
        <v>0</v>
      </c>
      <c r="H10" s="76">
        <f t="shared" si="2"/>
        <v>0</v>
      </c>
      <c r="I10" s="26">
        <f>VLOOKUP($B10,'County Data'!$B$9:$P$46,13,FALSE)</f>
        <v>0</v>
      </c>
      <c r="J10" s="47">
        <f>IF(I10="Y",$C$3*Input!$C$29/36*J$4,0)</f>
        <v>0</v>
      </c>
      <c r="K10" s="15">
        <f t="shared" si="3"/>
        <v>0</v>
      </c>
      <c r="L10" s="75">
        <f t="shared" si="4"/>
        <v>0</v>
      </c>
      <c r="M10" s="76">
        <f t="shared" si="5"/>
        <v>0</v>
      </c>
      <c r="N10" s="26">
        <f>VLOOKUP($B10,'County Data'!$B$9:$P$46,14,FALSE)</f>
        <v>0</v>
      </c>
      <c r="O10" s="47">
        <f>IF(N10="Y",$C$3*Input!$C$29/36*O$4,0)</f>
        <v>0</v>
      </c>
      <c r="P10" s="15">
        <f t="shared" si="6"/>
        <v>0</v>
      </c>
      <c r="Q10" s="75">
        <f t="shared" si="7"/>
        <v>0</v>
      </c>
      <c r="R10" s="76">
        <f t="shared" si="8"/>
        <v>0</v>
      </c>
      <c r="S10" s="26">
        <f>VLOOKUP($B10,'County Data'!$B$9:$P$46,15,FALSE)</f>
        <v>0</v>
      </c>
      <c r="T10" s="47">
        <f>IF(S10="Y",$C$3*Input!$C$29/36*T$4,0)</f>
        <v>0</v>
      </c>
      <c r="U10" s="15">
        <f t="shared" si="9"/>
        <v>0</v>
      </c>
      <c r="V10" s="75">
        <f t="shared" si="10"/>
        <v>0</v>
      </c>
      <c r="W10" s="76">
        <f t="shared" si="11"/>
        <v>0</v>
      </c>
      <c r="X10" s="77">
        <f t="shared" si="12"/>
        <v>0</v>
      </c>
      <c r="Y10" s="46">
        <f t="shared" si="13"/>
        <v>0</v>
      </c>
    </row>
    <row r="11" spans="2:25" x14ac:dyDescent="0.25">
      <c r="B11" s="20" t="str">
        <f>+'County Data'!$B$21</f>
        <v>Grant</v>
      </c>
      <c r="C11" s="15">
        <f>VLOOKUP($B11,'County Data'!$B$10:$P$46,2,FALSE)</f>
        <v>7226</v>
      </c>
      <c r="D11" s="26" t="str">
        <f>VLOOKUP($B11,'County Data'!$B$9:$P$46,12,FALSE)</f>
        <v>Y</v>
      </c>
      <c r="E11" s="75">
        <f>IF(D11="Y",$C$3*Input!$C$29/36*E$4,0)</f>
        <v>0</v>
      </c>
      <c r="F11" s="15">
        <f t="shared" si="0"/>
        <v>7226</v>
      </c>
      <c r="G11" s="75">
        <f t="shared" si="1"/>
        <v>0</v>
      </c>
      <c r="H11" s="76">
        <f t="shared" si="2"/>
        <v>0</v>
      </c>
      <c r="I11" s="26">
        <f>VLOOKUP($B11,'County Data'!$B$9:$P$46,13,FALSE)</f>
        <v>0</v>
      </c>
      <c r="J11" s="47">
        <f>IF(I11="Y",$C$3*Input!$C$29/36*J$4,0)</f>
        <v>0</v>
      </c>
      <c r="K11" s="15">
        <f t="shared" si="3"/>
        <v>0</v>
      </c>
      <c r="L11" s="75">
        <f t="shared" si="4"/>
        <v>0</v>
      </c>
      <c r="M11" s="76">
        <f t="shared" si="5"/>
        <v>0</v>
      </c>
      <c r="N11" s="26">
        <f>VLOOKUP($B11,'County Data'!$B$9:$P$46,14,FALSE)</f>
        <v>0</v>
      </c>
      <c r="O11" s="47">
        <f>IF(N11="Y",$C$3*Input!$C$29/36*O$4,0)</f>
        <v>0</v>
      </c>
      <c r="P11" s="15">
        <f t="shared" si="6"/>
        <v>0</v>
      </c>
      <c r="Q11" s="75">
        <f t="shared" si="7"/>
        <v>0</v>
      </c>
      <c r="R11" s="76">
        <f t="shared" si="8"/>
        <v>0</v>
      </c>
      <c r="S11" s="26">
        <f>VLOOKUP($B11,'County Data'!$B$9:$P$46,15,FALSE)</f>
        <v>0</v>
      </c>
      <c r="T11" s="47">
        <f>IF(S11="Y",$C$3*Input!$C$29/36*T$4,0)</f>
        <v>0</v>
      </c>
      <c r="U11" s="15">
        <f t="shared" si="9"/>
        <v>0</v>
      </c>
      <c r="V11" s="75">
        <f t="shared" si="10"/>
        <v>0</v>
      </c>
      <c r="W11" s="76">
        <f t="shared" si="11"/>
        <v>0</v>
      </c>
      <c r="X11" s="77">
        <f t="shared" si="12"/>
        <v>0</v>
      </c>
      <c r="Y11" s="46">
        <f t="shared" si="13"/>
        <v>0</v>
      </c>
    </row>
    <row r="12" spans="2:25" x14ac:dyDescent="0.25">
      <c r="B12" s="20" t="str">
        <f>+'County Data'!$B$28</f>
        <v>Lake</v>
      </c>
      <c r="C12" s="15">
        <f>VLOOKUP($B12,'County Data'!$B$10:$P$46,2,FALSE)</f>
        <v>8177</v>
      </c>
      <c r="D12" s="26" t="str">
        <f>VLOOKUP($B12,'County Data'!$B$9:$P$46,12,FALSE)</f>
        <v>Y</v>
      </c>
      <c r="E12" s="75">
        <f>IF(D12="Y",$C$3*Input!$C$29/36*E$4,0)</f>
        <v>0</v>
      </c>
      <c r="F12" s="15">
        <f t="shared" si="0"/>
        <v>8177</v>
      </c>
      <c r="G12" s="75">
        <f t="shared" si="1"/>
        <v>0</v>
      </c>
      <c r="H12" s="76">
        <f t="shared" si="2"/>
        <v>0</v>
      </c>
      <c r="I12" s="26">
        <f>VLOOKUP($B12,'County Data'!$B$9:$P$46,13,FALSE)</f>
        <v>0</v>
      </c>
      <c r="J12" s="47">
        <f>IF(I12="Y",$C$3*Input!$C$29/36*J$4,0)</f>
        <v>0</v>
      </c>
      <c r="K12" s="15">
        <f t="shared" si="3"/>
        <v>0</v>
      </c>
      <c r="L12" s="75">
        <f t="shared" si="4"/>
        <v>0</v>
      </c>
      <c r="M12" s="76">
        <f t="shared" si="5"/>
        <v>0</v>
      </c>
      <c r="N12" s="26">
        <f>VLOOKUP($B12,'County Data'!$B$9:$P$46,14,FALSE)</f>
        <v>0</v>
      </c>
      <c r="O12" s="47">
        <f>IF(N12="Y",$C$3*Input!$C$29/36*O$4,0)</f>
        <v>0</v>
      </c>
      <c r="P12" s="15">
        <f t="shared" si="6"/>
        <v>0</v>
      </c>
      <c r="Q12" s="75">
        <f t="shared" si="7"/>
        <v>0</v>
      </c>
      <c r="R12" s="76">
        <f t="shared" si="8"/>
        <v>0</v>
      </c>
      <c r="S12" s="26">
        <f>VLOOKUP($B12,'County Data'!$B$9:$P$46,15,FALSE)</f>
        <v>0</v>
      </c>
      <c r="T12" s="47">
        <f>IF(S12="Y",$C$3*Input!$C$29/36*T$4,0)</f>
        <v>0</v>
      </c>
      <c r="U12" s="15">
        <f t="shared" si="9"/>
        <v>0</v>
      </c>
      <c r="V12" s="75">
        <f t="shared" si="10"/>
        <v>0</v>
      </c>
      <c r="W12" s="76">
        <f t="shared" si="11"/>
        <v>0</v>
      </c>
      <c r="X12" s="77">
        <f t="shared" si="12"/>
        <v>0</v>
      </c>
      <c r="Y12" s="46">
        <f t="shared" si="13"/>
        <v>0</v>
      </c>
    </row>
    <row r="13" spans="2:25" x14ac:dyDescent="0.25">
      <c r="B13" s="20" t="str">
        <f>+'County Data'!$B$34</f>
        <v>Morrow</v>
      </c>
      <c r="C13" s="15">
        <f>VLOOKUP($B13,'County Data'!$B$10:$P$46,2,FALSE)</f>
        <v>12635</v>
      </c>
      <c r="D13" s="26" t="str">
        <f>VLOOKUP($B13,'County Data'!$B$9:$P$46,12,FALSE)</f>
        <v>Y</v>
      </c>
      <c r="E13" s="75">
        <f>IF(D13="Y",$C$3*Input!$C$29/36*E$4,0)</f>
        <v>0</v>
      </c>
      <c r="F13" s="15">
        <f t="shared" si="0"/>
        <v>12635</v>
      </c>
      <c r="G13" s="75">
        <f t="shared" si="1"/>
        <v>0</v>
      </c>
      <c r="H13" s="76">
        <f t="shared" si="2"/>
        <v>0</v>
      </c>
      <c r="I13" s="26">
        <f>VLOOKUP($B13,'County Data'!$B$9:$P$46,13,FALSE)</f>
        <v>0</v>
      </c>
      <c r="J13" s="47">
        <f>IF(I13="Y",$C$3*Input!$C$29/36*J$4,0)</f>
        <v>0</v>
      </c>
      <c r="K13" s="15">
        <f t="shared" si="3"/>
        <v>0</v>
      </c>
      <c r="L13" s="75">
        <f t="shared" si="4"/>
        <v>0</v>
      </c>
      <c r="M13" s="76">
        <f t="shared" si="5"/>
        <v>0</v>
      </c>
      <c r="N13" s="26">
        <f>VLOOKUP($B13,'County Data'!$B$9:$P$46,14,FALSE)</f>
        <v>0</v>
      </c>
      <c r="O13" s="47">
        <f>IF(N13="Y",$C$3*Input!$C$29/36*O$4,0)</f>
        <v>0</v>
      </c>
      <c r="P13" s="15">
        <f t="shared" si="6"/>
        <v>0</v>
      </c>
      <c r="Q13" s="75">
        <f t="shared" si="7"/>
        <v>0</v>
      </c>
      <c r="R13" s="76">
        <f t="shared" si="8"/>
        <v>0</v>
      </c>
      <c r="S13" s="26">
        <f>VLOOKUP($B13,'County Data'!$B$9:$P$46,15,FALSE)</f>
        <v>0</v>
      </c>
      <c r="T13" s="47">
        <f>IF(S13="Y",$C$3*Input!$C$29/36*T$4,0)</f>
        <v>0</v>
      </c>
      <c r="U13" s="15">
        <f t="shared" si="9"/>
        <v>0</v>
      </c>
      <c r="V13" s="75">
        <f t="shared" si="10"/>
        <v>0</v>
      </c>
      <c r="W13" s="76">
        <f t="shared" si="11"/>
        <v>0</v>
      </c>
      <c r="X13" s="77">
        <f t="shared" si="12"/>
        <v>0</v>
      </c>
      <c r="Y13" s="46">
        <f t="shared" si="13"/>
        <v>0</v>
      </c>
    </row>
    <row r="14" spans="2:25" x14ac:dyDescent="0.25">
      <c r="B14" s="20" t="str">
        <f>+'County Data'!$B$10</f>
        <v>Baker</v>
      </c>
      <c r="C14" s="15">
        <f>VLOOKUP($B14,'County Data'!$B$10:$P$46,2,FALSE)</f>
        <v>16860</v>
      </c>
      <c r="D14" s="26" t="str">
        <f>VLOOKUP($B14,'County Data'!$B$9:$P$46,12,FALSE)</f>
        <v>Y</v>
      </c>
      <c r="E14" s="75">
        <f>IF(D14="Y",$C$3*Input!$C$29/36*E$4,0)</f>
        <v>0</v>
      </c>
      <c r="F14" s="15">
        <f t="shared" si="0"/>
        <v>16860</v>
      </c>
      <c r="G14" s="75">
        <f t="shared" si="1"/>
        <v>0</v>
      </c>
      <c r="H14" s="76">
        <f t="shared" si="2"/>
        <v>0</v>
      </c>
      <c r="I14" s="26">
        <f>VLOOKUP($B14,'County Data'!$B$9:$P$46,13,FALSE)</f>
        <v>0</v>
      </c>
      <c r="J14" s="47">
        <f>IF(I14="Y",$C$3*Input!$C$29/36*J$4,0)</f>
        <v>0</v>
      </c>
      <c r="K14" s="15">
        <f t="shared" si="3"/>
        <v>0</v>
      </c>
      <c r="L14" s="75">
        <f t="shared" si="4"/>
        <v>0</v>
      </c>
      <c r="M14" s="76">
        <f t="shared" si="5"/>
        <v>0</v>
      </c>
      <c r="N14" s="26">
        <f>VLOOKUP($B14,'County Data'!$B$9:$P$46,14,FALSE)</f>
        <v>0</v>
      </c>
      <c r="O14" s="47">
        <f>IF(N14="Y",$C$3*Input!$C$29/36*O$4,0)</f>
        <v>0</v>
      </c>
      <c r="P14" s="15">
        <f t="shared" si="6"/>
        <v>0</v>
      </c>
      <c r="Q14" s="75">
        <f t="shared" si="7"/>
        <v>0</v>
      </c>
      <c r="R14" s="76">
        <f t="shared" si="8"/>
        <v>0</v>
      </c>
      <c r="S14" s="26">
        <f>VLOOKUP($B14,'County Data'!$B$9:$P$46,15,FALSE)</f>
        <v>0</v>
      </c>
      <c r="T14" s="47">
        <f>IF(S14="Y",$C$3*Input!$C$29/36*T$4,0)</f>
        <v>0</v>
      </c>
      <c r="U14" s="15">
        <f t="shared" si="9"/>
        <v>0</v>
      </c>
      <c r="V14" s="75">
        <f t="shared" si="10"/>
        <v>0</v>
      </c>
      <c r="W14" s="76">
        <f t="shared" si="11"/>
        <v>0</v>
      </c>
      <c r="X14" s="77">
        <f t="shared" si="12"/>
        <v>0</v>
      </c>
      <c r="Y14" s="46">
        <f t="shared" si="13"/>
        <v>0</v>
      </c>
    </row>
    <row r="15" spans="2:25" x14ac:dyDescent="0.25">
      <c r="B15" s="20" t="str">
        <f>+'County Data'!$B$16</f>
        <v>Crook</v>
      </c>
      <c r="C15" s="15">
        <f>VLOOKUP($B15,'County Data'!$B$10:$P$46,2,FALSE)</f>
        <v>25482</v>
      </c>
      <c r="D15" s="26" t="str">
        <f>VLOOKUP($B15,'County Data'!$B$9:$P$46,12,FALSE)</f>
        <v>Y</v>
      </c>
      <c r="E15" s="75">
        <f>IF(D15="Y",$C$3*Input!$C$29/36*E$4,0)</f>
        <v>0</v>
      </c>
      <c r="F15" s="15">
        <f t="shared" si="0"/>
        <v>25482</v>
      </c>
      <c r="G15" s="75">
        <f t="shared" si="1"/>
        <v>0</v>
      </c>
      <c r="H15" s="76">
        <f t="shared" si="2"/>
        <v>0</v>
      </c>
      <c r="I15" s="26">
        <f>VLOOKUP($B15,'County Data'!$B$9:$P$46,13,FALSE)</f>
        <v>0</v>
      </c>
      <c r="J15" s="47">
        <f>IF(I15="Y",$C$3*Input!$C$29/36*J$4,0)</f>
        <v>0</v>
      </c>
      <c r="K15" s="15">
        <f t="shared" si="3"/>
        <v>0</v>
      </c>
      <c r="L15" s="75">
        <f t="shared" si="4"/>
        <v>0</v>
      </c>
      <c r="M15" s="76">
        <f t="shared" si="5"/>
        <v>0</v>
      </c>
      <c r="N15" s="26">
        <f>VLOOKUP($B15,'County Data'!$B$9:$P$46,14,FALSE)</f>
        <v>0</v>
      </c>
      <c r="O15" s="47">
        <f>IF(N15="Y",$C$3*Input!$C$29/36*O$4,0)</f>
        <v>0</v>
      </c>
      <c r="P15" s="15">
        <f t="shared" si="6"/>
        <v>0</v>
      </c>
      <c r="Q15" s="75">
        <f t="shared" si="7"/>
        <v>0</v>
      </c>
      <c r="R15" s="76">
        <f t="shared" si="8"/>
        <v>0</v>
      </c>
      <c r="S15" s="26">
        <f>VLOOKUP($B15,'County Data'!$B$9:$P$46,15,FALSE)</f>
        <v>0</v>
      </c>
      <c r="T15" s="47">
        <f>IF(S15="Y",$C$3*Input!$C$29/36*T$4,0)</f>
        <v>0</v>
      </c>
      <c r="U15" s="15">
        <f t="shared" si="9"/>
        <v>0</v>
      </c>
      <c r="V15" s="75">
        <f t="shared" si="10"/>
        <v>0</v>
      </c>
      <c r="W15" s="76">
        <f t="shared" si="11"/>
        <v>0</v>
      </c>
      <c r="X15" s="77">
        <f t="shared" si="12"/>
        <v>0</v>
      </c>
      <c r="Y15" s="46">
        <f t="shared" si="13"/>
        <v>0</v>
      </c>
    </row>
    <row r="16" spans="2:25" x14ac:dyDescent="0.25">
      <c r="B16" s="20" t="str">
        <f>+'County Data'!$B$25</f>
        <v>Jefferson</v>
      </c>
      <c r="C16" s="15">
        <f>VLOOKUP($B16,'County Data'!$B$10:$P$46,2,FALSE)</f>
        <v>24889</v>
      </c>
      <c r="D16" s="26" t="str">
        <f>VLOOKUP($B16,'County Data'!$B$9:$P$46,12,FALSE)</f>
        <v>Y</v>
      </c>
      <c r="E16" s="75">
        <f>IF(D16="Y",$C$3*Input!$C$29/36*E$4,0)</f>
        <v>0</v>
      </c>
      <c r="F16" s="15">
        <f t="shared" si="0"/>
        <v>24889</v>
      </c>
      <c r="G16" s="75">
        <f t="shared" si="1"/>
        <v>0</v>
      </c>
      <c r="H16" s="76">
        <f t="shared" si="2"/>
        <v>0</v>
      </c>
      <c r="I16" s="26">
        <f>VLOOKUP($B16,'County Data'!$B$9:$P$46,13,FALSE)</f>
        <v>0</v>
      </c>
      <c r="J16" s="47">
        <f>IF(I16="Y",$C$3*Input!$C$29/36*J$4,0)</f>
        <v>0</v>
      </c>
      <c r="K16" s="15">
        <f t="shared" si="3"/>
        <v>0</v>
      </c>
      <c r="L16" s="75">
        <f t="shared" si="4"/>
        <v>0</v>
      </c>
      <c r="M16" s="76">
        <f t="shared" si="5"/>
        <v>0</v>
      </c>
      <c r="N16" s="26">
        <f>VLOOKUP($B16,'County Data'!$B$9:$P$46,14,FALSE)</f>
        <v>0</v>
      </c>
      <c r="O16" s="47">
        <f>IF(N16="Y",$C$3*Input!$C$29/36*O$4,0)</f>
        <v>0</v>
      </c>
      <c r="P16" s="15">
        <f t="shared" si="6"/>
        <v>0</v>
      </c>
      <c r="Q16" s="75">
        <f t="shared" si="7"/>
        <v>0</v>
      </c>
      <c r="R16" s="76">
        <f t="shared" si="8"/>
        <v>0</v>
      </c>
      <c r="S16" s="26">
        <f>VLOOKUP($B16,'County Data'!$B$9:$P$46,15,FALSE)</f>
        <v>0</v>
      </c>
      <c r="T16" s="47">
        <f>IF(S16="Y",$C$3*Input!$C$29/36*T$4,0)</f>
        <v>0</v>
      </c>
      <c r="U16" s="15">
        <f t="shared" si="9"/>
        <v>0</v>
      </c>
      <c r="V16" s="75">
        <f t="shared" si="10"/>
        <v>0</v>
      </c>
      <c r="W16" s="76">
        <f t="shared" si="11"/>
        <v>0</v>
      </c>
      <c r="X16" s="77">
        <f t="shared" si="12"/>
        <v>0</v>
      </c>
      <c r="Y16" s="46">
        <f t="shared" si="13"/>
        <v>0</v>
      </c>
    </row>
    <row r="17" spans="2:25" x14ac:dyDescent="0.25">
      <c r="B17" s="20" t="str">
        <f>+'County Data'!$B$17</f>
        <v>Curry</v>
      </c>
      <c r="C17" s="15">
        <f>VLOOKUP($B17,'County Data'!$B$10:$P$46,2,FALSE)</f>
        <v>23662</v>
      </c>
      <c r="D17" s="26" t="str">
        <f>VLOOKUP($B17,'County Data'!$B$9:$P$46,12,FALSE)</f>
        <v>Y</v>
      </c>
      <c r="E17" s="75">
        <f>IF(D17="Y",$C$3*Input!$C$29/36*E$4,0)</f>
        <v>0</v>
      </c>
      <c r="F17" s="15">
        <f t="shared" si="0"/>
        <v>23662</v>
      </c>
      <c r="G17" s="75">
        <f t="shared" si="1"/>
        <v>0</v>
      </c>
      <c r="H17" s="76">
        <f t="shared" si="2"/>
        <v>0</v>
      </c>
      <c r="I17" s="26">
        <f>VLOOKUP($B17,'County Data'!$B$9:$P$46,13,FALSE)</f>
        <v>0</v>
      </c>
      <c r="J17" s="47">
        <f>IF(I17="Y",$C$3*Input!$C$29/36*J$4,0)</f>
        <v>0</v>
      </c>
      <c r="K17" s="15">
        <f t="shared" si="3"/>
        <v>0</v>
      </c>
      <c r="L17" s="75">
        <f t="shared" si="4"/>
        <v>0</v>
      </c>
      <c r="M17" s="76">
        <f t="shared" si="5"/>
        <v>0</v>
      </c>
      <c r="N17" s="26">
        <f>VLOOKUP($B17,'County Data'!$B$9:$P$46,14,FALSE)</f>
        <v>0</v>
      </c>
      <c r="O17" s="47">
        <f>IF(N17="Y",$C$3*Input!$C$29/36*O$4,0)</f>
        <v>0</v>
      </c>
      <c r="P17" s="15">
        <f t="shared" si="6"/>
        <v>0</v>
      </c>
      <c r="Q17" s="75">
        <f t="shared" si="7"/>
        <v>0</v>
      </c>
      <c r="R17" s="76">
        <f t="shared" si="8"/>
        <v>0</v>
      </c>
      <c r="S17" s="26">
        <f>VLOOKUP($B17,'County Data'!$B$9:$P$46,15,FALSE)</f>
        <v>0</v>
      </c>
      <c r="T17" s="47">
        <f>IF(S17="Y",$C$3*Input!$C$29/36*T$4,0)</f>
        <v>0</v>
      </c>
      <c r="U17" s="15">
        <f t="shared" si="9"/>
        <v>0</v>
      </c>
      <c r="V17" s="75">
        <f t="shared" si="10"/>
        <v>0</v>
      </c>
      <c r="W17" s="76">
        <f t="shared" si="11"/>
        <v>0</v>
      </c>
      <c r="X17" s="77">
        <f t="shared" si="12"/>
        <v>0</v>
      </c>
      <c r="Y17" s="46">
        <f t="shared" si="13"/>
        <v>0</v>
      </c>
    </row>
    <row r="18" spans="2:25" x14ac:dyDescent="0.25">
      <c r="B18" s="20" t="str">
        <f>+'County Data'!$B$23</f>
        <v>Hood River</v>
      </c>
      <c r="C18" s="15">
        <f>VLOOKUP($B18,'County Data'!$B$10:$P$46,2,FALSE)</f>
        <v>23888</v>
      </c>
      <c r="D18" s="26" t="str">
        <f>VLOOKUP($B18,'County Data'!$B$9:$P$46,12,FALSE)</f>
        <v>Y</v>
      </c>
      <c r="E18" s="75">
        <f>IF(D18="Y",$C$3*Input!$C$29/36*E$4,0)</f>
        <v>0</v>
      </c>
      <c r="F18" s="15">
        <f t="shared" si="0"/>
        <v>23888</v>
      </c>
      <c r="G18" s="75">
        <f t="shared" si="1"/>
        <v>0</v>
      </c>
      <c r="H18" s="76">
        <f t="shared" si="2"/>
        <v>0</v>
      </c>
      <c r="I18" s="26">
        <f>VLOOKUP($B18,'County Data'!$B$9:$P$46,13,FALSE)</f>
        <v>0</v>
      </c>
      <c r="J18" s="47">
        <f>IF(I18="Y",$C$3*Input!$C$29/36*J$4,0)</f>
        <v>0</v>
      </c>
      <c r="K18" s="15">
        <f t="shared" si="3"/>
        <v>0</v>
      </c>
      <c r="L18" s="75">
        <f t="shared" si="4"/>
        <v>0</v>
      </c>
      <c r="M18" s="76">
        <f t="shared" si="5"/>
        <v>0</v>
      </c>
      <c r="N18" s="26">
        <f>VLOOKUP($B18,'County Data'!$B$9:$P$46,14,FALSE)</f>
        <v>0</v>
      </c>
      <c r="O18" s="47">
        <f>IF(N18="Y",$C$3*Input!$C$29/36*O$4,0)</f>
        <v>0</v>
      </c>
      <c r="P18" s="15">
        <f t="shared" si="6"/>
        <v>0</v>
      </c>
      <c r="Q18" s="75">
        <f t="shared" si="7"/>
        <v>0</v>
      </c>
      <c r="R18" s="76">
        <f t="shared" si="8"/>
        <v>0</v>
      </c>
      <c r="S18" s="26">
        <f>VLOOKUP($B18,'County Data'!$B$9:$P$46,15,FALSE)</f>
        <v>0</v>
      </c>
      <c r="T18" s="47">
        <f>IF(S18="Y",$C$3*Input!$C$29/36*T$4,0)</f>
        <v>0</v>
      </c>
      <c r="U18" s="15">
        <f t="shared" si="9"/>
        <v>0</v>
      </c>
      <c r="V18" s="75">
        <f t="shared" si="10"/>
        <v>0</v>
      </c>
      <c r="W18" s="76">
        <f t="shared" si="11"/>
        <v>0</v>
      </c>
      <c r="X18" s="77">
        <f t="shared" si="12"/>
        <v>0</v>
      </c>
      <c r="Y18" s="46">
        <f t="shared" si="13"/>
        <v>0</v>
      </c>
    </row>
    <row r="19" spans="2:25" x14ac:dyDescent="0.25">
      <c r="B19" s="20" t="str">
        <f>+'County Data'!$B$39</f>
        <v>Tillamook</v>
      </c>
      <c r="C19" s="15">
        <f>VLOOKUP($B19,'County Data'!$B$10:$P$46,2,FALSE)</f>
        <v>27628</v>
      </c>
      <c r="D19" s="26" t="str">
        <f>VLOOKUP($B19,'County Data'!$B$9:$P$46,12,FALSE)</f>
        <v>Y</v>
      </c>
      <c r="E19" s="75">
        <f>IF(D19="Y",$C$3*Input!$C$29/36*E$4,0)</f>
        <v>0</v>
      </c>
      <c r="F19" s="15">
        <f t="shared" si="0"/>
        <v>27628</v>
      </c>
      <c r="G19" s="75">
        <f t="shared" si="1"/>
        <v>0</v>
      </c>
      <c r="H19" s="76">
        <f t="shared" si="2"/>
        <v>0</v>
      </c>
      <c r="I19" s="26">
        <f>VLOOKUP($B19,'County Data'!$B$9:$P$46,13,FALSE)</f>
        <v>0</v>
      </c>
      <c r="J19" s="47">
        <f>IF(I19="Y",$C$3*Input!$C$29/36*J$4,0)</f>
        <v>0</v>
      </c>
      <c r="K19" s="15">
        <f t="shared" si="3"/>
        <v>0</v>
      </c>
      <c r="L19" s="75">
        <f t="shared" si="4"/>
        <v>0</v>
      </c>
      <c r="M19" s="76">
        <f t="shared" si="5"/>
        <v>0</v>
      </c>
      <c r="N19" s="26">
        <f>VLOOKUP($B19,'County Data'!$B$9:$P$46,14,FALSE)</f>
        <v>0</v>
      </c>
      <c r="O19" s="47">
        <f>IF(N19="Y",$C$3*Input!$C$29/36*O$4,0)</f>
        <v>0</v>
      </c>
      <c r="P19" s="15">
        <f t="shared" si="6"/>
        <v>0</v>
      </c>
      <c r="Q19" s="75">
        <f t="shared" si="7"/>
        <v>0</v>
      </c>
      <c r="R19" s="76">
        <f t="shared" si="8"/>
        <v>0</v>
      </c>
      <c r="S19" s="26">
        <f>VLOOKUP($B19,'County Data'!$B$9:$P$46,15,FALSE)</f>
        <v>0</v>
      </c>
      <c r="T19" s="47">
        <f>IF(S19="Y",$C$3*Input!$C$29/36*T$4,0)</f>
        <v>0</v>
      </c>
      <c r="U19" s="15">
        <f t="shared" si="9"/>
        <v>0</v>
      </c>
      <c r="V19" s="75">
        <f t="shared" si="10"/>
        <v>0</v>
      </c>
      <c r="W19" s="76">
        <f t="shared" si="11"/>
        <v>0</v>
      </c>
      <c r="X19" s="77">
        <f t="shared" si="12"/>
        <v>0</v>
      </c>
      <c r="Y19" s="46">
        <f t="shared" si="13"/>
        <v>0</v>
      </c>
    </row>
    <row r="20" spans="2:25" x14ac:dyDescent="0.25">
      <c r="B20" s="20" t="str">
        <f>+'County Data'!$B$41</f>
        <v>Union</v>
      </c>
      <c r="C20" s="15">
        <f>VLOOKUP($B20,'County Data'!$B$10:$P$46,2,FALSE)</f>
        <v>26295</v>
      </c>
      <c r="D20" s="26" t="str">
        <f>VLOOKUP($B20,'County Data'!$B$9:$P$46,12,FALSE)</f>
        <v>Y</v>
      </c>
      <c r="E20" s="75">
        <f>IF(D20="Y",$C$3*Input!$C$29/36*E$4,0)</f>
        <v>0</v>
      </c>
      <c r="F20" s="15">
        <f t="shared" si="0"/>
        <v>26295</v>
      </c>
      <c r="G20" s="75">
        <f t="shared" si="1"/>
        <v>0</v>
      </c>
      <c r="H20" s="76">
        <f t="shared" si="2"/>
        <v>0</v>
      </c>
      <c r="I20" s="26">
        <f>VLOOKUP($B20,'County Data'!$B$9:$P$46,13,FALSE)</f>
        <v>0</v>
      </c>
      <c r="J20" s="47">
        <f>IF(I20="Y",$C$3*Input!$C$29/36*J$4,0)</f>
        <v>0</v>
      </c>
      <c r="K20" s="15">
        <f t="shared" si="3"/>
        <v>0</v>
      </c>
      <c r="L20" s="75">
        <f t="shared" si="4"/>
        <v>0</v>
      </c>
      <c r="M20" s="76">
        <f t="shared" si="5"/>
        <v>0</v>
      </c>
      <c r="N20" s="26">
        <f>VLOOKUP($B20,'County Data'!$B$9:$P$46,14,FALSE)</f>
        <v>0</v>
      </c>
      <c r="O20" s="47">
        <f>IF(N20="Y",$C$3*Input!$C$29/36*O$4,0)</f>
        <v>0</v>
      </c>
      <c r="P20" s="15">
        <f t="shared" si="6"/>
        <v>0</v>
      </c>
      <c r="Q20" s="75">
        <f t="shared" si="7"/>
        <v>0</v>
      </c>
      <c r="R20" s="76">
        <f t="shared" si="8"/>
        <v>0</v>
      </c>
      <c r="S20" s="26">
        <f>VLOOKUP($B20,'County Data'!$B$9:$P$46,15,FALSE)</f>
        <v>0</v>
      </c>
      <c r="T20" s="47">
        <f>IF(S20="Y",$C$3*Input!$C$29/36*T$4,0)</f>
        <v>0</v>
      </c>
      <c r="U20" s="15">
        <f t="shared" si="9"/>
        <v>0</v>
      </c>
      <c r="V20" s="75">
        <f t="shared" si="10"/>
        <v>0</v>
      </c>
      <c r="W20" s="76">
        <f t="shared" si="11"/>
        <v>0</v>
      </c>
      <c r="X20" s="77">
        <f t="shared" si="12"/>
        <v>0</v>
      </c>
      <c r="Y20" s="46">
        <f t="shared" si="13"/>
        <v>0</v>
      </c>
    </row>
    <row r="21" spans="2:25" x14ac:dyDescent="0.25">
      <c r="B21" s="20" t="str">
        <f>+'County Data'!$B$36</f>
        <v>Sherman, Wasco</v>
      </c>
      <c r="C21" s="15">
        <f>VLOOKUP($B21,'County Data'!$B$10:$P$46,2,FALSE)</f>
        <v>28489</v>
      </c>
      <c r="D21" s="26" t="str">
        <f>VLOOKUP($B21,'County Data'!$B$9:$P$46,12,FALSE)</f>
        <v>Y</v>
      </c>
      <c r="E21" s="75">
        <f>IF(D21="Y",$C$3*Input!$C$29/36*3*E$4,0)</f>
        <v>0</v>
      </c>
      <c r="F21" s="15">
        <f t="shared" si="0"/>
        <v>28489</v>
      </c>
      <c r="G21" s="75">
        <f t="shared" si="1"/>
        <v>0</v>
      </c>
      <c r="H21" s="76">
        <f t="shared" si="2"/>
        <v>0</v>
      </c>
      <c r="I21" s="26">
        <f>VLOOKUP($B21,'County Data'!$B$9:$P$46,13,FALSE)</f>
        <v>0</v>
      </c>
      <c r="J21" s="47">
        <f>IF(I21="Y",$C$3*Input!$C$29/36*3*J$4,0)</f>
        <v>0</v>
      </c>
      <c r="K21" s="15">
        <f t="shared" si="3"/>
        <v>0</v>
      </c>
      <c r="L21" s="75">
        <f t="shared" si="4"/>
        <v>0</v>
      </c>
      <c r="M21" s="76">
        <f t="shared" si="5"/>
        <v>0</v>
      </c>
      <c r="N21" s="26">
        <f>VLOOKUP($B21,'County Data'!$B$9:$P$46,14,FALSE)</f>
        <v>0</v>
      </c>
      <c r="O21" s="47">
        <f>IF(N21="Y",$C$3*Input!$C$29/36*3*O$4,0)</f>
        <v>0</v>
      </c>
      <c r="P21" s="15">
        <f t="shared" si="6"/>
        <v>0</v>
      </c>
      <c r="Q21" s="75">
        <f t="shared" si="7"/>
        <v>0</v>
      </c>
      <c r="R21" s="76">
        <f t="shared" si="8"/>
        <v>0</v>
      </c>
      <c r="S21" s="26">
        <f>VLOOKUP($B21,'County Data'!$B$9:$P$46,15,FALSE)</f>
        <v>0</v>
      </c>
      <c r="T21" s="47">
        <f>IF(S21="Y",$C$3*Input!$C$29/36*3*T$4,0)</f>
        <v>0</v>
      </c>
      <c r="U21" s="15">
        <f t="shared" si="9"/>
        <v>0</v>
      </c>
      <c r="V21" s="75">
        <f t="shared" si="10"/>
        <v>0</v>
      </c>
      <c r="W21" s="76">
        <f t="shared" si="11"/>
        <v>0</v>
      </c>
      <c r="X21" s="77">
        <f t="shared" si="12"/>
        <v>0</v>
      </c>
      <c r="Y21" s="46">
        <f t="shared" si="13"/>
        <v>0</v>
      </c>
    </row>
    <row r="22" spans="2:25" x14ac:dyDescent="0.25">
      <c r="B22" s="20" t="str">
        <f>+'County Data'!$B$32</f>
        <v>Malheur</v>
      </c>
      <c r="C22" s="15">
        <f>VLOOKUP($B22,'County Data'!$B$10:$P$46,2,FALSE)</f>
        <v>31995</v>
      </c>
      <c r="D22" s="26" t="str">
        <f>VLOOKUP($B22,'County Data'!$B$9:$P$46,12,FALSE)</f>
        <v>Y</v>
      </c>
      <c r="E22" s="75">
        <f>IF(D22="Y",$C$3*Input!$C$29/36*E$4,0)</f>
        <v>0</v>
      </c>
      <c r="F22" s="15">
        <f t="shared" si="0"/>
        <v>31995</v>
      </c>
      <c r="G22" s="75">
        <f t="shared" si="1"/>
        <v>0</v>
      </c>
      <c r="H22" s="76">
        <f t="shared" si="2"/>
        <v>0</v>
      </c>
      <c r="I22" s="26">
        <f>VLOOKUP($B22,'County Data'!$B$9:$P$46,13,FALSE)</f>
        <v>0</v>
      </c>
      <c r="J22" s="47">
        <f>IF(I22="Y",$C$3*Input!$C$29/36*J$4,0)</f>
        <v>0</v>
      </c>
      <c r="K22" s="15">
        <f t="shared" si="3"/>
        <v>0</v>
      </c>
      <c r="L22" s="75">
        <f t="shared" si="4"/>
        <v>0</v>
      </c>
      <c r="M22" s="76">
        <f t="shared" si="5"/>
        <v>0</v>
      </c>
      <c r="N22" s="26">
        <f>VLOOKUP($B22,'County Data'!$B$9:$P$46,14,FALSE)</f>
        <v>0</v>
      </c>
      <c r="O22" s="47">
        <f>IF(N22="Y",$C$3*Input!$C$29/36*O$4,0)</f>
        <v>0</v>
      </c>
      <c r="P22" s="15">
        <f t="shared" si="6"/>
        <v>0</v>
      </c>
      <c r="Q22" s="75">
        <f t="shared" si="7"/>
        <v>0</v>
      </c>
      <c r="R22" s="76">
        <f t="shared" si="8"/>
        <v>0</v>
      </c>
      <c r="S22" s="26">
        <f>VLOOKUP($B22,'County Data'!$B$9:$P$46,15,FALSE)</f>
        <v>0</v>
      </c>
      <c r="T22" s="47">
        <f>IF(S22="Y",$C$3*Input!$C$29/36*T$4,0)</f>
        <v>0</v>
      </c>
      <c r="U22" s="15">
        <f t="shared" si="9"/>
        <v>0</v>
      </c>
      <c r="V22" s="75">
        <f t="shared" si="10"/>
        <v>0</v>
      </c>
      <c r="W22" s="76">
        <f t="shared" si="11"/>
        <v>0</v>
      </c>
      <c r="X22" s="77">
        <f t="shared" si="12"/>
        <v>0</v>
      </c>
      <c r="Y22" s="46">
        <f t="shared" si="13"/>
        <v>0</v>
      </c>
    </row>
    <row r="23" spans="2:25" x14ac:dyDescent="0.25">
      <c r="B23" s="20" t="str">
        <f>+'County Data'!$B$13</f>
        <v>Clatsop</v>
      </c>
      <c r="C23" s="15">
        <f>VLOOKUP($B23,'County Data'!$B$10:$P$46,2,FALSE)</f>
        <v>41428</v>
      </c>
      <c r="D23" s="26" t="str">
        <f>VLOOKUP($B23,'County Data'!$B$9:$P$46,12,FALSE)</f>
        <v>Y</v>
      </c>
      <c r="E23" s="75">
        <f>IF(D23="Y",$C$3*Input!$C$29/36*E$4,0)</f>
        <v>0</v>
      </c>
      <c r="F23" s="15">
        <f t="shared" si="0"/>
        <v>41428</v>
      </c>
      <c r="G23" s="75">
        <f t="shared" si="1"/>
        <v>0</v>
      </c>
      <c r="H23" s="76">
        <f t="shared" si="2"/>
        <v>0</v>
      </c>
      <c r="I23" s="26">
        <f>VLOOKUP($B23,'County Data'!$B$9:$P$46,13,FALSE)</f>
        <v>0</v>
      </c>
      <c r="J23" s="47">
        <f>IF(I23="Y",$C$3*Input!$C$29/36*J$4,0)</f>
        <v>0</v>
      </c>
      <c r="K23" s="15">
        <f t="shared" si="3"/>
        <v>0</v>
      </c>
      <c r="L23" s="75">
        <f t="shared" si="4"/>
        <v>0</v>
      </c>
      <c r="M23" s="76">
        <f t="shared" si="5"/>
        <v>0</v>
      </c>
      <c r="N23" s="26">
        <f>VLOOKUP($B23,'County Data'!$B$9:$P$46,14,FALSE)</f>
        <v>0</v>
      </c>
      <c r="O23" s="47">
        <f>IF(N23="Y",$C$3*Input!$C$29/36*O$4,0)</f>
        <v>0</v>
      </c>
      <c r="P23" s="15">
        <f t="shared" si="6"/>
        <v>0</v>
      </c>
      <c r="Q23" s="75">
        <f t="shared" si="7"/>
        <v>0</v>
      </c>
      <c r="R23" s="76">
        <f t="shared" si="8"/>
        <v>0</v>
      </c>
      <c r="S23" s="26">
        <f>VLOOKUP($B23,'County Data'!$B$9:$P$46,15,FALSE)</f>
        <v>0</v>
      </c>
      <c r="T23" s="47">
        <f>IF(S23="Y",$C$3*Input!$C$29/36*T$4,0)</f>
        <v>0</v>
      </c>
      <c r="U23" s="15">
        <f t="shared" si="9"/>
        <v>0</v>
      </c>
      <c r="V23" s="75">
        <f t="shared" si="10"/>
        <v>0</v>
      </c>
      <c r="W23" s="76">
        <f t="shared" si="11"/>
        <v>0</v>
      </c>
      <c r="X23" s="77">
        <f t="shared" si="12"/>
        <v>0</v>
      </c>
      <c r="Y23" s="46">
        <f t="shared" si="13"/>
        <v>0</v>
      </c>
    </row>
    <row r="24" spans="2:25" x14ac:dyDescent="0.25">
      <c r="B24" s="20" t="str">
        <f>+'County Data'!$B$30</f>
        <v>Lincoln</v>
      </c>
      <c r="C24" s="15">
        <f>VLOOKUP($B24,'County Data'!$B$10:$P$46,2,FALSE)</f>
        <v>50903</v>
      </c>
      <c r="D24" s="26" t="str">
        <f>VLOOKUP($B24,'County Data'!$B$9:$P$46,12,FALSE)</f>
        <v>Y</v>
      </c>
      <c r="E24" s="75">
        <f>IF(D24="Y",$C$3*Input!$C$29/36*E$4,0)</f>
        <v>0</v>
      </c>
      <c r="F24" s="15">
        <f t="shared" si="0"/>
        <v>50903</v>
      </c>
      <c r="G24" s="75">
        <f t="shared" si="1"/>
        <v>0</v>
      </c>
      <c r="H24" s="76">
        <f t="shared" si="2"/>
        <v>0</v>
      </c>
      <c r="I24" s="26">
        <f>VLOOKUP($B24,'County Data'!$B$9:$P$46,13,FALSE)</f>
        <v>0</v>
      </c>
      <c r="J24" s="47">
        <f>IF(I24="Y",$C$3*Input!$C$29/36*J$4,0)</f>
        <v>0</v>
      </c>
      <c r="K24" s="15">
        <f t="shared" si="3"/>
        <v>0</v>
      </c>
      <c r="L24" s="75">
        <f t="shared" si="4"/>
        <v>0</v>
      </c>
      <c r="M24" s="76">
        <f t="shared" si="5"/>
        <v>0</v>
      </c>
      <c r="N24" s="26">
        <f>VLOOKUP($B24,'County Data'!$B$9:$P$46,14,FALSE)</f>
        <v>0</v>
      </c>
      <c r="O24" s="47">
        <f>IF(N24="Y",$C$3*Input!$C$29/36*O$4,0)</f>
        <v>0</v>
      </c>
      <c r="P24" s="15">
        <f t="shared" si="6"/>
        <v>0</v>
      </c>
      <c r="Q24" s="75">
        <f t="shared" si="7"/>
        <v>0</v>
      </c>
      <c r="R24" s="76">
        <f t="shared" si="8"/>
        <v>0</v>
      </c>
      <c r="S24" s="26">
        <f>VLOOKUP($B24,'County Data'!$B$9:$P$46,15,FALSE)</f>
        <v>0</v>
      </c>
      <c r="T24" s="47">
        <f>IF(S24="Y",$C$3*Input!$C$29/36*T$4,0)</f>
        <v>0</v>
      </c>
      <c r="U24" s="15">
        <f t="shared" si="9"/>
        <v>0</v>
      </c>
      <c r="V24" s="75">
        <f t="shared" si="10"/>
        <v>0</v>
      </c>
      <c r="W24" s="76">
        <f t="shared" si="11"/>
        <v>0</v>
      </c>
      <c r="X24" s="77">
        <f t="shared" si="12"/>
        <v>0</v>
      </c>
      <c r="Y24" s="46">
        <f t="shared" si="13"/>
        <v>0</v>
      </c>
    </row>
    <row r="25" spans="2:25" x14ac:dyDescent="0.25">
      <c r="B25" s="20" t="str">
        <f>+'County Data'!$B$14</f>
        <v>Columbia</v>
      </c>
      <c r="C25" s="15">
        <f>VLOOKUP($B25,'County Data'!$B$10:$P$46,2,FALSE)</f>
        <v>53014</v>
      </c>
      <c r="D25" s="26" t="str">
        <f>VLOOKUP($B25,'County Data'!$B$9:$P$46,12,FALSE)</f>
        <v>Y</v>
      </c>
      <c r="E25" s="75">
        <f>IF(D25="Y",$C$3*Input!$C$29/36*E$4,0)</f>
        <v>0</v>
      </c>
      <c r="F25" s="15">
        <f t="shared" si="0"/>
        <v>53014</v>
      </c>
      <c r="G25" s="75">
        <f t="shared" si="1"/>
        <v>0</v>
      </c>
      <c r="H25" s="76">
        <f t="shared" si="2"/>
        <v>0</v>
      </c>
      <c r="I25" s="26">
        <f>VLOOKUP($B25,'County Data'!$B$9:$P$46,13,FALSE)</f>
        <v>0</v>
      </c>
      <c r="J25" s="47">
        <f>IF(I25="Y",$C$3*Input!$C$29/36*J$4,0)</f>
        <v>0</v>
      </c>
      <c r="K25" s="15">
        <f t="shared" si="3"/>
        <v>0</v>
      </c>
      <c r="L25" s="75">
        <f t="shared" si="4"/>
        <v>0</v>
      </c>
      <c r="M25" s="76">
        <f t="shared" si="5"/>
        <v>0</v>
      </c>
      <c r="N25" s="26">
        <f>VLOOKUP($B25,'County Data'!$B$9:$P$46,14,FALSE)</f>
        <v>0</v>
      </c>
      <c r="O25" s="47">
        <f>IF(N25="Y",$C$3*Input!$C$29/36*O$4,0)</f>
        <v>0</v>
      </c>
      <c r="P25" s="15">
        <f t="shared" si="6"/>
        <v>0</v>
      </c>
      <c r="Q25" s="75">
        <f t="shared" si="7"/>
        <v>0</v>
      </c>
      <c r="R25" s="76">
        <f t="shared" si="8"/>
        <v>0</v>
      </c>
      <c r="S25" s="26">
        <f>VLOOKUP($B25,'County Data'!$B$9:$P$46,15,FALSE)</f>
        <v>0</v>
      </c>
      <c r="T25" s="47">
        <f>IF(S25="Y",$C$3*Input!$C$29/36*T$4,0)</f>
        <v>0</v>
      </c>
      <c r="U25" s="15">
        <f t="shared" si="9"/>
        <v>0</v>
      </c>
      <c r="V25" s="75">
        <f t="shared" si="10"/>
        <v>0</v>
      </c>
      <c r="W25" s="76">
        <f t="shared" si="11"/>
        <v>0</v>
      </c>
      <c r="X25" s="77">
        <f t="shared" si="12"/>
        <v>0</v>
      </c>
      <c r="Y25" s="46">
        <f t="shared" si="13"/>
        <v>0</v>
      </c>
    </row>
    <row r="26" spans="2:25" x14ac:dyDescent="0.25">
      <c r="B26" s="20" t="str">
        <f>+'County Data'!$B$15</f>
        <v>Coos</v>
      </c>
      <c r="C26" s="15">
        <f>VLOOKUP($B26,'County Data'!$B$10:$P$46,2,FALSE)</f>
        <v>65154</v>
      </c>
      <c r="D26" s="26" t="str">
        <f>VLOOKUP($B26,'County Data'!$B$9:$P$46,12,FALSE)</f>
        <v>Y</v>
      </c>
      <c r="E26" s="75">
        <f>IF(D26="Y",$C$3*Input!$C$29/36*E$4,0)</f>
        <v>0</v>
      </c>
      <c r="F26" s="15">
        <f t="shared" si="0"/>
        <v>65154</v>
      </c>
      <c r="G26" s="75">
        <f t="shared" si="1"/>
        <v>0</v>
      </c>
      <c r="H26" s="76">
        <f t="shared" si="2"/>
        <v>0</v>
      </c>
      <c r="I26" s="26">
        <f>VLOOKUP($B26,'County Data'!$B$9:$P$46,13,FALSE)</f>
        <v>0</v>
      </c>
      <c r="J26" s="47">
        <f>IF(I26="Y",$C$3*Input!$C$29/36*J$4,0)</f>
        <v>0</v>
      </c>
      <c r="K26" s="15">
        <f t="shared" si="3"/>
        <v>0</v>
      </c>
      <c r="L26" s="75">
        <f t="shared" si="4"/>
        <v>0</v>
      </c>
      <c r="M26" s="76">
        <f t="shared" si="5"/>
        <v>0</v>
      </c>
      <c r="N26" s="26">
        <f>VLOOKUP($B26,'County Data'!$B$9:$P$46,14,FALSE)</f>
        <v>0</v>
      </c>
      <c r="O26" s="47">
        <f>IF(N26="Y",$C$3*Input!$C$29/36*O$4,0)</f>
        <v>0</v>
      </c>
      <c r="P26" s="15">
        <f t="shared" si="6"/>
        <v>0</v>
      </c>
      <c r="Q26" s="75">
        <f t="shared" si="7"/>
        <v>0</v>
      </c>
      <c r="R26" s="76">
        <f t="shared" si="8"/>
        <v>0</v>
      </c>
      <c r="S26" s="26">
        <f>VLOOKUP($B26,'County Data'!$B$9:$P$46,15,FALSE)</f>
        <v>0</v>
      </c>
      <c r="T26" s="47">
        <f>IF(S26="Y",$C$3*Input!$C$29/36*T$4,0)</f>
        <v>0</v>
      </c>
      <c r="U26" s="15">
        <f t="shared" si="9"/>
        <v>0</v>
      </c>
      <c r="V26" s="75">
        <f t="shared" si="10"/>
        <v>0</v>
      </c>
      <c r="W26" s="76">
        <f t="shared" si="11"/>
        <v>0</v>
      </c>
      <c r="X26" s="77">
        <f t="shared" si="12"/>
        <v>0</v>
      </c>
      <c r="Y26" s="46">
        <f t="shared" si="13"/>
        <v>0</v>
      </c>
    </row>
    <row r="27" spans="2:25" x14ac:dyDescent="0.25">
      <c r="B27" s="20" t="str">
        <f>+'County Data'!$B$27</f>
        <v>Klamath</v>
      </c>
      <c r="C27" s="15">
        <f>VLOOKUP($B27,'County Data'!$B$10:$P$46,2,FALSE)</f>
        <v>69822</v>
      </c>
      <c r="D27" s="26" t="str">
        <f>VLOOKUP($B27,'County Data'!$B$9:$P$46,12,FALSE)</f>
        <v>Y</v>
      </c>
      <c r="E27" s="75">
        <f>IF(D27="Y",$C$3*Input!$C$29/36*E$4,0)</f>
        <v>0</v>
      </c>
      <c r="F27" s="15">
        <f t="shared" si="0"/>
        <v>69822</v>
      </c>
      <c r="G27" s="75">
        <f t="shared" si="1"/>
        <v>0</v>
      </c>
      <c r="H27" s="76">
        <f t="shared" si="2"/>
        <v>0</v>
      </c>
      <c r="I27" s="26">
        <f>VLOOKUP($B27,'County Data'!$B$9:$P$46,13,FALSE)</f>
        <v>0</v>
      </c>
      <c r="J27" s="47">
        <f>IF(I27="Y",$C$3*Input!$C$29/36*J$4,0)</f>
        <v>0</v>
      </c>
      <c r="K27" s="15">
        <f t="shared" si="3"/>
        <v>0</v>
      </c>
      <c r="L27" s="75">
        <f t="shared" si="4"/>
        <v>0</v>
      </c>
      <c r="M27" s="76">
        <f t="shared" si="5"/>
        <v>0</v>
      </c>
      <c r="N27" s="26">
        <f>VLOOKUP($B27,'County Data'!$B$9:$P$46,14,FALSE)</f>
        <v>0</v>
      </c>
      <c r="O27" s="47">
        <f>IF(N27="Y",$C$3*Input!$C$29/36*O$4,0)</f>
        <v>0</v>
      </c>
      <c r="P27" s="15">
        <f t="shared" si="6"/>
        <v>0</v>
      </c>
      <c r="Q27" s="75">
        <f t="shared" si="7"/>
        <v>0</v>
      </c>
      <c r="R27" s="76">
        <f t="shared" si="8"/>
        <v>0</v>
      </c>
      <c r="S27" s="26">
        <f>VLOOKUP($B27,'County Data'!$B$9:$P$46,15,FALSE)</f>
        <v>0</v>
      </c>
      <c r="T27" s="47">
        <f>IF(S27="Y",$C$3*Input!$C$29/36*T$4,0)</f>
        <v>0</v>
      </c>
      <c r="U27" s="15">
        <f t="shared" si="9"/>
        <v>0</v>
      </c>
      <c r="V27" s="75">
        <f t="shared" si="10"/>
        <v>0</v>
      </c>
      <c r="W27" s="76">
        <f t="shared" si="11"/>
        <v>0</v>
      </c>
      <c r="X27" s="77">
        <f t="shared" si="12"/>
        <v>0</v>
      </c>
      <c r="Y27" s="46">
        <f t="shared" si="13"/>
        <v>0</v>
      </c>
    </row>
    <row r="28" spans="2:25" x14ac:dyDescent="0.25">
      <c r="B28" s="20" t="str">
        <f>+'County Data'!$B$37</f>
        <v>Polk</v>
      </c>
      <c r="C28" s="15">
        <f>VLOOKUP($B28,'County Data'!$B$10:$P$46,2,FALSE)</f>
        <v>88916</v>
      </c>
      <c r="D28" s="26" t="str">
        <f>VLOOKUP($B28,'County Data'!$B$9:$P$46,12,FALSE)</f>
        <v>Y</v>
      </c>
      <c r="E28" s="75">
        <f>IF(D28="Y",$C$3*Input!$C$29/36*E$4,0)</f>
        <v>0</v>
      </c>
      <c r="F28" s="15">
        <f t="shared" si="0"/>
        <v>88916</v>
      </c>
      <c r="G28" s="75">
        <f t="shared" si="1"/>
        <v>0</v>
      </c>
      <c r="H28" s="76">
        <f t="shared" si="2"/>
        <v>0</v>
      </c>
      <c r="I28" s="26">
        <f>VLOOKUP($B28,'County Data'!$B$9:$P$46,13,FALSE)</f>
        <v>0</v>
      </c>
      <c r="J28" s="47">
        <f>IF(I28="Y",$C$3*Input!$C$29/36*J$4,0)</f>
        <v>0</v>
      </c>
      <c r="K28" s="15">
        <f t="shared" si="3"/>
        <v>0</v>
      </c>
      <c r="L28" s="75">
        <f t="shared" si="4"/>
        <v>0</v>
      </c>
      <c r="M28" s="76">
        <f t="shared" si="5"/>
        <v>0</v>
      </c>
      <c r="N28" s="26">
        <f>VLOOKUP($B28,'County Data'!$B$9:$P$46,14,FALSE)</f>
        <v>0</v>
      </c>
      <c r="O28" s="47">
        <f>IF(N28="Y",$C$3*Input!$C$29/36*O$4,0)</f>
        <v>0</v>
      </c>
      <c r="P28" s="15">
        <f t="shared" si="6"/>
        <v>0</v>
      </c>
      <c r="Q28" s="75">
        <f t="shared" si="7"/>
        <v>0</v>
      </c>
      <c r="R28" s="76">
        <f t="shared" si="8"/>
        <v>0</v>
      </c>
      <c r="S28" s="26">
        <f>VLOOKUP($B28,'County Data'!$B$9:$P$46,15,FALSE)</f>
        <v>0</v>
      </c>
      <c r="T28" s="47">
        <f>IF(S28="Y",$C$3*Input!$C$29/36*T$4,0)</f>
        <v>0</v>
      </c>
      <c r="U28" s="15">
        <f t="shared" si="9"/>
        <v>0</v>
      </c>
      <c r="V28" s="75">
        <f t="shared" si="10"/>
        <v>0</v>
      </c>
      <c r="W28" s="76">
        <f t="shared" si="11"/>
        <v>0</v>
      </c>
      <c r="X28" s="77">
        <f t="shared" si="12"/>
        <v>0</v>
      </c>
      <c r="Y28" s="46">
        <f t="shared" si="13"/>
        <v>0</v>
      </c>
    </row>
    <row r="29" spans="2:25" x14ac:dyDescent="0.25">
      <c r="B29" s="20" t="str">
        <f>+'County Data'!$B$40</f>
        <v>Umatilla</v>
      </c>
      <c r="C29" s="15">
        <f>VLOOKUP($B29,'County Data'!$B$10:$P$46,2,FALSE)</f>
        <v>80463</v>
      </c>
      <c r="D29" s="26" t="str">
        <f>VLOOKUP($B29,'County Data'!$B$9:$P$46,12,FALSE)</f>
        <v>Y</v>
      </c>
      <c r="E29" s="75">
        <f>IF(D29="Y",$C$3*Input!$C$29/36*E$4,0)</f>
        <v>0</v>
      </c>
      <c r="F29" s="15">
        <f t="shared" si="0"/>
        <v>80463</v>
      </c>
      <c r="G29" s="75">
        <f t="shared" si="1"/>
        <v>0</v>
      </c>
      <c r="H29" s="76">
        <f t="shared" si="2"/>
        <v>0</v>
      </c>
      <c r="I29" s="26">
        <f>VLOOKUP($B29,'County Data'!$B$9:$P$46,13,FALSE)</f>
        <v>0</v>
      </c>
      <c r="J29" s="47">
        <f>IF(I29="Y",$C$3*Input!$C$29/36*J$4,0)</f>
        <v>0</v>
      </c>
      <c r="K29" s="15">
        <f t="shared" si="3"/>
        <v>0</v>
      </c>
      <c r="L29" s="75">
        <f t="shared" si="4"/>
        <v>0</v>
      </c>
      <c r="M29" s="76">
        <f t="shared" si="5"/>
        <v>0</v>
      </c>
      <c r="N29" s="26">
        <f>VLOOKUP($B29,'County Data'!$B$9:$P$46,14,FALSE)</f>
        <v>0</v>
      </c>
      <c r="O29" s="47">
        <f>IF(N29="Y",$C$3*Input!$C$29/36*O$4,0)</f>
        <v>0</v>
      </c>
      <c r="P29" s="15">
        <f t="shared" si="6"/>
        <v>0</v>
      </c>
      <c r="Q29" s="75">
        <f t="shared" si="7"/>
        <v>0</v>
      </c>
      <c r="R29" s="76">
        <f t="shared" si="8"/>
        <v>0</v>
      </c>
      <c r="S29" s="26">
        <f>VLOOKUP($B29,'County Data'!$B$9:$P$46,15,FALSE)</f>
        <v>0</v>
      </c>
      <c r="T29" s="47">
        <f>IF(S29="Y",$C$3*Input!$C$29/36*T$4,0)</f>
        <v>0</v>
      </c>
      <c r="U29" s="15">
        <f t="shared" si="9"/>
        <v>0</v>
      </c>
      <c r="V29" s="75">
        <f t="shared" si="10"/>
        <v>0</v>
      </c>
      <c r="W29" s="76">
        <f t="shared" si="11"/>
        <v>0</v>
      </c>
      <c r="X29" s="77">
        <f t="shared" si="12"/>
        <v>0</v>
      </c>
      <c r="Y29" s="46">
        <f t="shared" si="13"/>
        <v>0</v>
      </c>
    </row>
    <row r="30" spans="2:25" x14ac:dyDescent="0.25">
      <c r="B30" s="20" t="str">
        <f>+'County Data'!$B$26</f>
        <v>Josephine</v>
      </c>
      <c r="C30" s="15">
        <f>VLOOKUP($B30,'County Data'!$B$10:$P$46,2,FALSE)</f>
        <v>88728</v>
      </c>
      <c r="D30" s="26" t="str">
        <f>VLOOKUP($B30,'County Data'!$B$9:$P$46,12,FALSE)</f>
        <v>Y</v>
      </c>
      <c r="E30" s="75">
        <f>IF(D30="Y",$C$3*Input!$C$29/36*E$4,0)</f>
        <v>0</v>
      </c>
      <c r="F30" s="15">
        <f t="shared" si="0"/>
        <v>88728</v>
      </c>
      <c r="G30" s="75">
        <f t="shared" si="1"/>
        <v>0</v>
      </c>
      <c r="H30" s="76">
        <f t="shared" si="2"/>
        <v>0</v>
      </c>
      <c r="I30" s="26">
        <f>VLOOKUP($B30,'County Data'!$B$9:$P$46,13,FALSE)</f>
        <v>0</v>
      </c>
      <c r="J30" s="47">
        <f>IF(I30="Y",$C$3*Input!$C$29/36*J$4,0)</f>
        <v>0</v>
      </c>
      <c r="K30" s="15">
        <f t="shared" si="3"/>
        <v>0</v>
      </c>
      <c r="L30" s="75">
        <f t="shared" si="4"/>
        <v>0</v>
      </c>
      <c r="M30" s="76">
        <f t="shared" si="5"/>
        <v>0</v>
      </c>
      <c r="N30" s="26">
        <f>VLOOKUP($B30,'County Data'!$B$9:$P$46,14,FALSE)</f>
        <v>0</v>
      </c>
      <c r="O30" s="47">
        <f>IF(N30="Y",$C$3*Input!$C$29/36*O$4,0)</f>
        <v>0</v>
      </c>
      <c r="P30" s="15">
        <f t="shared" si="6"/>
        <v>0</v>
      </c>
      <c r="Q30" s="75">
        <f t="shared" si="7"/>
        <v>0</v>
      </c>
      <c r="R30" s="76">
        <f t="shared" si="8"/>
        <v>0</v>
      </c>
      <c r="S30" s="26">
        <f>VLOOKUP($B30,'County Data'!$B$9:$P$46,15,FALSE)</f>
        <v>0</v>
      </c>
      <c r="T30" s="47">
        <f>IF(S30="Y",$C$3*Input!$C$29/36*T$4,0)</f>
        <v>0</v>
      </c>
      <c r="U30" s="15">
        <f t="shared" si="9"/>
        <v>0</v>
      </c>
      <c r="V30" s="75">
        <f t="shared" si="10"/>
        <v>0</v>
      </c>
      <c r="W30" s="76">
        <f t="shared" si="11"/>
        <v>0</v>
      </c>
      <c r="X30" s="77">
        <f t="shared" si="12"/>
        <v>0</v>
      </c>
      <c r="Y30" s="46">
        <f t="shared" si="13"/>
        <v>0</v>
      </c>
    </row>
    <row r="31" spans="2:25" x14ac:dyDescent="0.25">
      <c r="B31" s="20" t="str">
        <f>+'County Data'!$B$11</f>
        <v>Benton</v>
      </c>
      <c r="C31" s="15">
        <f>VLOOKUP($B31,'County Data'!$B$10:$P$46,2,FALSE)</f>
        <v>93976</v>
      </c>
      <c r="D31" s="26" t="str">
        <f>VLOOKUP($B31,'County Data'!$B$9:$P$46,12,FALSE)</f>
        <v>Y</v>
      </c>
      <c r="E31" s="75">
        <f>IF(D31="Y",$C$3*Input!$C$29/36*E$4,0)</f>
        <v>0</v>
      </c>
      <c r="F31" s="15">
        <f t="shared" si="0"/>
        <v>93976</v>
      </c>
      <c r="G31" s="75">
        <f t="shared" si="1"/>
        <v>0</v>
      </c>
      <c r="H31" s="76">
        <f t="shared" si="2"/>
        <v>0</v>
      </c>
      <c r="I31" s="26">
        <f>VLOOKUP($B31,'County Data'!$B$9:$P$46,13,FALSE)</f>
        <v>0</v>
      </c>
      <c r="J31" s="47">
        <f>IF(I31="Y",$C$3*Input!$C$29/36*J$4,0)</f>
        <v>0</v>
      </c>
      <c r="K31" s="15">
        <f t="shared" si="3"/>
        <v>0</v>
      </c>
      <c r="L31" s="75">
        <f t="shared" si="4"/>
        <v>0</v>
      </c>
      <c r="M31" s="76">
        <f t="shared" si="5"/>
        <v>0</v>
      </c>
      <c r="N31" s="26">
        <f>VLOOKUP($B31,'County Data'!$B$9:$P$46,14,FALSE)</f>
        <v>0</v>
      </c>
      <c r="O31" s="47">
        <f>IF(N31="Y",$C$3*Input!$C$29/36*O$4,0)</f>
        <v>0</v>
      </c>
      <c r="P31" s="15">
        <f t="shared" si="6"/>
        <v>0</v>
      </c>
      <c r="Q31" s="75">
        <f t="shared" si="7"/>
        <v>0</v>
      </c>
      <c r="R31" s="76">
        <f t="shared" si="8"/>
        <v>0</v>
      </c>
      <c r="S31" s="26">
        <f>VLOOKUP($B31,'County Data'!$B$9:$P$46,15,FALSE)</f>
        <v>0</v>
      </c>
      <c r="T31" s="47">
        <f>IF(S31="Y",$C$3*Input!$C$29/36*T$4,0)</f>
        <v>0</v>
      </c>
      <c r="U31" s="15">
        <f t="shared" si="9"/>
        <v>0</v>
      </c>
      <c r="V31" s="75">
        <f t="shared" si="10"/>
        <v>0</v>
      </c>
      <c r="W31" s="76">
        <f t="shared" si="11"/>
        <v>0</v>
      </c>
      <c r="X31" s="77">
        <f t="shared" si="12"/>
        <v>0</v>
      </c>
      <c r="Y31" s="46">
        <f t="shared" si="13"/>
        <v>0</v>
      </c>
    </row>
    <row r="32" spans="2:25" x14ac:dyDescent="0.25">
      <c r="B32" s="20" t="str">
        <f>+'County Data'!$B$46</f>
        <v>Yamhill</v>
      </c>
      <c r="C32" s="15">
        <f>VLOOKUP($B32,'County Data'!$B$10:$P$46,2,FALSE)</f>
        <v>108261</v>
      </c>
      <c r="D32" s="26" t="str">
        <f>VLOOKUP($B32,'County Data'!$B$9:$P$46,12,FALSE)</f>
        <v>Y</v>
      </c>
      <c r="E32" s="75">
        <f>IF(D32="Y",$C$3*Input!$C$29/36*E$4,0)</f>
        <v>0</v>
      </c>
      <c r="F32" s="15">
        <f t="shared" si="0"/>
        <v>108261</v>
      </c>
      <c r="G32" s="75">
        <f t="shared" si="1"/>
        <v>0</v>
      </c>
      <c r="H32" s="76">
        <f t="shared" si="2"/>
        <v>0</v>
      </c>
      <c r="I32" s="26">
        <f>VLOOKUP($B32,'County Data'!$B$9:$P$46,13,FALSE)</f>
        <v>0</v>
      </c>
      <c r="J32" s="47">
        <f>IF(I32="Y",$C$3*Input!$C$29/36*J$4,0)</f>
        <v>0</v>
      </c>
      <c r="K32" s="15">
        <f t="shared" si="3"/>
        <v>0</v>
      </c>
      <c r="L32" s="75">
        <f t="shared" si="4"/>
        <v>0</v>
      </c>
      <c r="M32" s="76">
        <f t="shared" si="5"/>
        <v>0</v>
      </c>
      <c r="N32" s="26">
        <f>VLOOKUP($B32,'County Data'!$B$9:$P$46,14,FALSE)</f>
        <v>0</v>
      </c>
      <c r="O32" s="47">
        <f>IF(N32="Y",$C$3*Input!$C$29/36*O$4,0)</f>
        <v>0</v>
      </c>
      <c r="P32" s="15">
        <f t="shared" si="6"/>
        <v>0</v>
      </c>
      <c r="Q32" s="75">
        <f t="shared" si="7"/>
        <v>0</v>
      </c>
      <c r="R32" s="76">
        <f t="shared" si="8"/>
        <v>0</v>
      </c>
      <c r="S32" s="26">
        <f>VLOOKUP($B32,'County Data'!$B$9:$P$46,15,FALSE)</f>
        <v>0</v>
      </c>
      <c r="T32" s="47">
        <f>IF(S32="Y",$C$3*Input!$C$29/36*T$4,0)</f>
        <v>0</v>
      </c>
      <c r="U32" s="15">
        <f t="shared" si="9"/>
        <v>0</v>
      </c>
      <c r="V32" s="75">
        <f t="shared" si="10"/>
        <v>0</v>
      </c>
      <c r="W32" s="76">
        <f t="shared" si="11"/>
        <v>0</v>
      </c>
      <c r="X32" s="77">
        <f t="shared" si="12"/>
        <v>0</v>
      </c>
      <c r="Y32" s="46">
        <f t="shared" si="13"/>
        <v>0</v>
      </c>
    </row>
    <row r="33" spans="2:25" x14ac:dyDescent="0.25">
      <c r="B33" s="20" t="str">
        <f>+'County Data'!$B$19</f>
        <v>Douglas</v>
      </c>
      <c r="C33" s="15">
        <f>VLOOKUP($B33,'County Data'!$B$10:$P$46,2,FALSE)</f>
        <v>111694</v>
      </c>
      <c r="D33" s="26" t="str">
        <f>VLOOKUP($B33,'County Data'!$B$9:$P$46,12,FALSE)</f>
        <v>Y</v>
      </c>
      <c r="E33" s="75">
        <f>IF(D33="Y",$C$3*Input!$C$29/36*E$4,0)</f>
        <v>0</v>
      </c>
      <c r="F33" s="15">
        <f t="shared" si="0"/>
        <v>111694</v>
      </c>
      <c r="G33" s="75">
        <f t="shared" si="1"/>
        <v>0</v>
      </c>
      <c r="H33" s="76">
        <f t="shared" si="2"/>
        <v>0</v>
      </c>
      <c r="I33" s="26">
        <f>VLOOKUP($B33,'County Data'!$B$9:$P$46,13,FALSE)</f>
        <v>0</v>
      </c>
      <c r="J33" s="47">
        <f>IF(I33="Y",$C$3*Input!$C$29/36*J$4,0)</f>
        <v>0</v>
      </c>
      <c r="K33" s="15">
        <f t="shared" si="3"/>
        <v>0</v>
      </c>
      <c r="L33" s="75">
        <f t="shared" si="4"/>
        <v>0</v>
      </c>
      <c r="M33" s="76">
        <f t="shared" si="5"/>
        <v>0</v>
      </c>
      <c r="N33" s="26">
        <f>VLOOKUP($B33,'County Data'!$B$9:$P$46,14,FALSE)</f>
        <v>0</v>
      </c>
      <c r="O33" s="47">
        <f>IF(N33="Y",$C$3*Input!$C$29/36*O$4,0)</f>
        <v>0</v>
      </c>
      <c r="P33" s="15">
        <f t="shared" si="6"/>
        <v>0</v>
      </c>
      <c r="Q33" s="75">
        <f t="shared" si="7"/>
        <v>0</v>
      </c>
      <c r="R33" s="76">
        <f t="shared" si="8"/>
        <v>0</v>
      </c>
      <c r="S33" s="26">
        <f>VLOOKUP($B33,'County Data'!$B$9:$P$46,15,FALSE)</f>
        <v>0</v>
      </c>
      <c r="T33" s="47">
        <f>IF(S33="Y",$C$3*Input!$C$29/36*T$4,0)</f>
        <v>0</v>
      </c>
      <c r="U33" s="15">
        <f t="shared" si="9"/>
        <v>0</v>
      </c>
      <c r="V33" s="75">
        <f t="shared" si="10"/>
        <v>0</v>
      </c>
      <c r="W33" s="76">
        <f t="shared" si="11"/>
        <v>0</v>
      </c>
      <c r="X33" s="77">
        <f t="shared" si="12"/>
        <v>0</v>
      </c>
      <c r="Y33" s="46">
        <f t="shared" si="13"/>
        <v>0</v>
      </c>
    </row>
    <row r="34" spans="2:25" x14ac:dyDescent="0.25">
      <c r="B34" s="20" t="str">
        <f>+'County Data'!$B$31</f>
        <v>Linn</v>
      </c>
      <c r="C34" s="15">
        <f>VLOOKUP($B34,'County Data'!$B$10:$P$46,2,FALSE)</f>
        <v>130440</v>
      </c>
      <c r="D34" s="26" t="str">
        <f>VLOOKUP($B34,'County Data'!$B$9:$P$46,12,FALSE)</f>
        <v>Y</v>
      </c>
      <c r="E34" s="75">
        <f>IF(D34="Y",$C$3*Input!$C$29/36*E$4,0)</f>
        <v>0</v>
      </c>
      <c r="F34" s="15">
        <f t="shared" si="0"/>
        <v>130440</v>
      </c>
      <c r="G34" s="75">
        <f t="shared" si="1"/>
        <v>0</v>
      </c>
      <c r="H34" s="76">
        <f t="shared" si="2"/>
        <v>0</v>
      </c>
      <c r="I34" s="26">
        <f>VLOOKUP($B34,'County Data'!$B$9:$P$46,13,FALSE)</f>
        <v>0</v>
      </c>
      <c r="J34" s="47">
        <f>IF(I34="Y",$C$3*Input!$C$29/36*J$4,0)</f>
        <v>0</v>
      </c>
      <c r="K34" s="15">
        <f t="shared" si="3"/>
        <v>0</v>
      </c>
      <c r="L34" s="75">
        <f t="shared" si="4"/>
        <v>0</v>
      </c>
      <c r="M34" s="76">
        <f t="shared" si="5"/>
        <v>0</v>
      </c>
      <c r="N34" s="26">
        <f>VLOOKUP($B34,'County Data'!$B$9:$P$46,14,FALSE)</f>
        <v>0</v>
      </c>
      <c r="O34" s="47">
        <f>IF(N34="Y",$C$3*Input!$C$29/36*O$4,0)</f>
        <v>0</v>
      </c>
      <c r="P34" s="15">
        <f t="shared" si="6"/>
        <v>0</v>
      </c>
      <c r="Q34" s="75">
        <f t="shared" si="7"/>
        <v>0</v>
      </c>
      <c r="R34" s="76">
        <f t="shared" si="8"/>
        <v>0</v>
      </c>
      <c r="S34" s="26">
        <f>VLOOKUP($B34,'County Data'!$B$9:$P$46,15,FALSE)</f>
        <v>0</v>
      </c>
      <c r="T34" s="47">
        <f>IF(S34="Y",$C$3*Input!$C$29/36*T$4,0)</f>
        <v>0</v>
      </c>
      <c r="U34" s="15">
        <f t="shared" si="9"/>
        <v>0</v>
      </c>
      <c r="V34" s="75">
        <f t="shared" si="10"/>
        <v>0</v>
      </c>
      <c r="W34" s="76">
        <f t="shared" si="11"/>
        <v>0</v>
      </c>
      <c r="X34" s="77">
        <f t="shared" si="12"/>
        <v>0</v>
      </c>
      <c r="Y34" s="46">
        <f t="shared" si="13"/>
        <v>0</v>
      </c>
    </row>
    <row r="35" spans="2:25" x14ac:dyDescent="0.25">
      <c r="B35" s="20" t="str">
        <f>+'County Data'!$B$18</f>
        <v>Deschutes</v>
      </c>
      <c r="C35" s="15">
        <f>VLOOKUP($B35,'County Data'!$B$10:$P$46,2,FALSE)</f>
        <v>203390</v>
      </c>
      <c r="D35" s="26" t="str">
        <f>VLOOKUP($B35,'County Data'!$B$9:$P$46,12,FALSE)</f>
        <v>Y</v>
      </c>
      <c r="E35" s="75">
        <f>IF(D35="Y",$C$3*Input!$C$29/36*E$4,0)</f>
        <v>0</v>
      </c>
      <c r="F35" s="15">
        <f t="shared" si="0"/>
        <v>203390</v>
      </c>
      <c r="G35" s="75">
        <f t="shared" si="1"/>
        <v>0</v>
      </c>
      <c r="H35" s="76">
        <f t="shared" si="2"/>
        <v>0</v>
      </c>
      <c r="I35" s="26">
        <f>VLOOKUP($B35,'County Data'!$B$9:$P$46,13,FALSE)</f>
        <v>0</v>
      </c>
      <c r="J35" s="47">
        <f>IF(I35="Y",$C$3*Input!$C$29/36*J$4,0)</f>
        <v>0</v>
      </c>
      <c r="K35" s="15">
        <f t="shared" si="3"/>
        <v>0</v>
      </c>
      <c r="L35" s="75">
        <f t="shared" si="4"/>
        <v>0</v>
      </c>
      <c r="M35" s="76">
        <f t="shared" si="5"/>
        <v>0</v>
      </c>
      <c r="N35" s="26">
        <f>VLOOKUP($B35,'County Data'!$B$9:$P$46,14,FALSE)</f>
        <v>0</v>
      </c>
      <c r="O35" s="47">
        <f>IF(N35="Y",$C$3*Input!$C$29/36*O$4,0)</f>
        <v>0</v>
      </c>
      <c r="P35" s="15">
        <f t="shared" si="6"/>
        <v>0</v>
      </c>
      <c r="Q35" s="75">
        <f t="shared" si="7"/>
        <v>0</v>
      </c>
      <c r="R35" s="76">
        <f t="shared" si="8"/>
        <v>0</v>
      </c>
      <c r="S35" s="26">
        <f>VLOOKUP($B35,'County Data'!$B$9:$P$46,15,FALSE)</f>
        <v>0</v>
      </c>
      <c r="T35" s="47">
        <f>IF(S35="Y",$C$3*Input!$C$29/36*T$4,0)</f>
        <v>0</v>
      </c>
      <c r="U35" s="15">
        <f t="shared" si="9"/>
        <v>0</v>
      </c>
      <c r="V35" s="75">
        <f t="shared" si="10"/>
        <v>0</v>
      </c>
      <c r="W35" s="76">
        <f t="shared" si="11"/>
        <v>0</v>
      </c>
      <c r="X35" s="77">
        <f t="shared" si="12"/>
        <v>0</v>
      </c>
      <c r="Y35" s="46">
        <f t="shared" si="13"/>
        <v>0</v>
      </c>
    </row>
    <row r="36" spans="2:25" x14ac:dyDescent="0.25">
      <c r="B36" s="20" t="str">
        <f>+'County Data'!$B$24</f>
        <v>Jackson</v>
      </c>
      <c r="C36" s="15">
        <f>VLOOKUP($B36,'County Data'!$B$10:$P$46,2,FALSE)</f>
        <v>223827</v>
      </c>
      <c r="D36" s="26" t="str">
        <f>VLOOKUP($B36,'County Data'!$B$9:$P$46,12,FALSE)</f>
        <v>Y</v>
      </c>
      <c r="E36" s="75">
        <f>IF(D36="Y",$C$3*Input!$C$29/36*E$4,0)</f>
        <v>0</v>
      </c>
      <c r="F36" s="15">
        <f t="shared" si="0"/>
        <v>223827</v>
      </c>
      <c r="G36" s="75">
        <f t="shared" si="1"/>
        <v>0</v>
      </c>
      <c r="H36" s="76">
        <f t="shared" si="2"/>
        <v>0</v>
      </c>
      <c r="I36" s="26">
        <f>VLOOKUP($B36,'County Data'!$B$9:$P$46,13,FALSE)</f>
        <v>0</v>
      </c>
      <c r="J36" s="47">
        <f>IF(I36="Y",$C$3*Input!$C$29/36*J$4,0)</f>
        <v>0</v>
      </c>
      <c r="K36" s="15">
        <f t="shared" si="3"/>
        <v>0</v>
      </c>
      <c r="L36" s="75">
        <f t="shared" si="4"/>
        <v>0</v>
      </c>
      <c r="M36" s="76">
        <f t="shared" si="5"/>
        <v>0</v>
      </c>
      <c r="N36" s="26">
        <f>VLOOKUP($B36,'County Data'!$B$9:$P$46,14,FALSE)</f>
        <v>0</v>
      </c>
      <c r="O36" s="47">
        <f>IF(N36="Y",$C$3*Input!$C$29/36*O$4,0)</f>
        <v>0</v>
      </c>
      <c r="P36" s="15">
        <f t="shared" si="6"/>
        <v>0</v>
      </c>
      <c r="Q36" s="75">
        <f t="shared" si="7"/>
        <v>0</v>
      </c>
      <c r="R36" s="76">
        <f t="shared" si="8"/>
        <v>0</v>
      </c>
      <c r="S36" s="26">
        <f>VLOOKUP($B36,'County Data'!$B$9:$P$46,15,FALSE)</f>
        <v>0</v>
      </c>
      <c r="T36" s="47">
        <f>IF(S36="Y",$C$3*Input!$C$29/36*T$4,0)</f>
        <v>0</v>
      </c>
      <c r="U36" s="15">
        <f t="shared" si="9"/>
        <v>0</v>
      </c>
      <c r="V36" s="75">
        <f t="shared" si="10"/>
        <v>0</v>
      </c>
      <c r="W36" s="76">
        <f t="shared" si="11"/>
        <v>0</v>
      </c>
      <c r="X36" s="77">
        <f t="shared" si="12"/>
        <v>0</v>
      </c>
      <c r="Y36" s="46">
        <f t="shared" si="13"/>
        <v>0</v>
      </c>
    </row>
    <row r="37" spans="2:25" x14ac:dyDescent="0.25">
      <c r="B37" s="20" t="str">
        <f>+'County Data'!$B$33</f>
        <v>Marion</v>
      </c>
      <c r="C37" s="15">
        <f>VLOOKUP($B37,'County Data'!$B$10:$P$46,2,FALSE)</f>
        <v>347182</v>
      </c>
      <c r="D37" s="26" t="str">
        <f>VLOOKUP($B37,'County Data'!$B$9:$P$46,12,FALSE)</f>
        <v>Y</v>
      </c>
      <c r="E37" s="75">
        <f>IF(D37="Y",$C$3*Input!$C$29/36*E$4,0)</f>
        <v>0</v>
      </c>
      <c r="F37" s="15">
        <f t="shared" si="0"/>
        <v>347182</v>
      </c>
      <c r="G37" s="75">
        <f t="shared" si="1"/>
        <v>0</v>
      </c>
      <c r="H37" s="76">
        <f t="shared" si="2"/>
        <v>0</v>
      </c>
      <c r="I37" s="26">
        <f>VLOOKUP($B37,'County Data'!$B$9:$P$46,13,FALSE)</f>
        <v>0</v>
      </c>
      <c r="J37" s="47">
        <f>IF(I37="Y",$C$3*Input!$C$29/36*J$4,0)</f>
        <v>0</v>
      </c>
      <c r="K37" s="15">
        <f t="shared" si="3"/>
        <v>0</v>
      </c>
      <c r="L37" s="75">
        <f t="shared" si="4"/>
        <v>0</v>
      </c>
      <c r="M37" s="76">
        <f t="shared" si="5"/>
        <v>0</v>
      </c>
      <c r="N37" s="26">
        <f>VLOOKUP($B37,'County Data'!$B$9:$P$46,14,FALSE)</f>
        <v>0</v>
      </c>
      <c r="O37" s="47">
        <f>IF(N37="Y",$C$3*Input!$C$29/36*O$4,0)</f>
        <v>0</v>
      </c>
      <c r="P37" s="15">
        <f t="shared" si="6"/>
        <v>0</v>
      </c>
      <c r="Q37" s="75">
        <f t="shared" si="7"/>
        <v>0</v>
      </c>
      <c r="R37" s="76">
        <f t="shared" si="8"/>
        <v>0</v>
      </c>
      <c r="S37" s="26">
        <f>VLOOKUP($B37,'County Data'!$B$9:$P$46,15,FALSE)</f>
        <v>0</v>
      </c>
      <c r="T37" s="47">
        <f>IF(S37="Y",$C$3*Input!$C$29/36*T$4,0)</f>
        <v>0</v>
      </c>
      <c r="U37" s="15">
        <f t="shared" si="9"/>
        <v>0</v>
      </c>
      <c r="V37" s="75">
        <f t="shared" si="10"/>
        <v>0</v>
      </c>
      <c r="W37" s="76">
        <f t="shared" si="11"/>
        <v>0</v>
      </c>
      <c r="X37" s="77">
        <f t="shared" si="12"/>
        <v>0</v>
      </c>
      <c r="Y37" s="46">
        <f t="shared" si="13"/>
        <v>0</v>
      </c>
    </row>
    <row r="38" spans="2:25" x14ac:dyDescent="0.25">
      <c r="B38" s="20" t="str">
        <f>+'County Data'!$B$29</f>
        <v>Lane</v>
      </c>
      <c r="C38" s="15">
        <f>VLOOKUP($B38,'County Data'!$B$10:$P$46,2,FALSE)</f>
        <v>382647</v>
      </c>
      <c r="D38" s="26" t="str">
        <f>VLOOKUP($B38,'County Data'!$B$9:$P$46,12,FALSE)</f>
        <v>Y</v>
      </c>
      <c r="E38" s="75">
        <f>IF(D38="Y",$C$3*Input!$C$29/36*E$4,0)</f>
        <v>0</v>
      </c>
      <c r="F38" s="15">
        <f t="shared" si="0"/>
        <v>382647</v>
      </c>
      <c r="G38" s="75">
        <f t="shared" si="1"/>
        <v>0</v>
      </c>
      <c r="H38" s="76">
        <f t="shared" si="2"/>
        <v>0</v>
      </c>
      <c r="I38" s="26">
        <f>VLOOKUP($B38,'County Data'!$B$9:$P$46,13,FALSE)</f>
        <v>0</v>
      </c>
      <c r="J38" s="47">
        <f>IF(I38="Y",$C$3*Input!$C$29/36*J$4,0)</f>
        <v>0</v>
      </c>
      <c r="K38" s="15">
        <f t="shared" si="3"/>
        <v>0</v>
      </c>
      <c r="L38" s="75">
        <f t="shared" si="4"/>
        <v>0</v>
      </c>
      <c r="M38" s="76">
        <f t="shared" si="5"/>
        <v>0</v>
      </c>
      <c r="N38" s="26">
        <f>VLOOKUP($B38,'County Data'!$B$9:$P$46,14,FALSE)</f>
        <v>0</v>
      </c>
      <c r="O38" s="47">
        <f>IF(N38="Y",$C$3*Input!$C$29/36*O$4,0)</f>
        <v>0</v>
      </c>
      <c r="P38" s="15">
        <f t="shared" si="6"/>
        <v>0</v>
      </c>
      <c r="Q38" s="75">
        <f t="shared" si="7"/>
        <v>0</v>
      </c>
      <c r="R38" s="76">
        <f t="shared" si="8"/>
        <v>0</v>
      </c>
      <c r="S38" s="26">
        <f>VLOOKUP($B38,'County Data'!$B$9:$P$46,15,FALSE)</f>
        <v>0</v>
      </c>
      <c r="T38" s="47">
        <f>IF(S38="Y",$C$3*Input!$C$29/36*T$4,0)</f>
        <v>0</v>
      </c>
      <c r="U38" s="15">
        <f t="shared" si="9"/>
        <v>0</v>
      </c>
      <c r="V38" s="75">
        <f t="shared" si="10"/>
        <v>0</v>
      </c>
      <c r="W38" s="76">
        <f t="shared" si="11"/>
        <v>0</v>
      </c>
      <c r="X38" s="77">
        <f t="shared" si="12"/>
        <v>0</v>
      </c>
      <c r="Y38" s="46">
        <f t="shared" si="13"/>
        <v>0</v>
      </c>
    </row>
    <row r="39" spans="2:25" x14ac:dyDescent="0.25">
      <c r="B39" s="20" t="str">
        <f>+'County Data'!$B$12</f>
        <v>Clackamas</v>
      </c>
      <c r="C39" s="15">
        <f>VLOOKUP($B39,'County Data'!$B$10:$P$46,2,FALSE)</f>
        <v>425316</v>
      </c>
      <c r="D39" s="26" t="str">
        <f>VLOOKUP($B39,'County Data'!$B$9:$P$46,12,FALSE)</f>
        <v>Y</v>
      </c>
      <c r="E39" s="75">
        <f>IF(D39="Y",$C$3*Input!$C$29/36*E$4,0)</f>
        <v>0</v>
      </c>
      <c r="F39" s="15">
        <f t="shared" si="0"/>
        <v>425316</v>
      </c>
      <c r="G39" s="75">
        <f t="shared" si="1"/>
        <v>0</v>
      </c>
      <c r="H39" s="76">
        <f t="shared" si="2"/>
        <v>0</v>
      </c>
      <c r="I39" s="26">
        <f>VLOOKUP($B39,'County Data'!$B$9:$P$46,13,FALSE)</f>
        <v>0</v>
      </c>
      <c r="J39" s="47">
        <f>IF(I39="Y",$C$3*Input!$C$29/36*J$4,0)</f>
        <v>0</v>
      </c>
      <c r="K39" s="15">
        <f t="shared" si="3"/>
        <v>0</v>
      </c>
      <c r="L39" s="75">
        <f t="shared" si="4"/>
        <v>0</v>
      </c>
      <c r="M39" s="76">
        <f t="shared" si="5"/>
        <v>0</v>
      </c>
      <c r="N39" s="26">
        <f>VLOOKUP($B39,'County Data'!$B$9:$P$46,14,FALSE)</f>
        <v>0</v>
      </c>
      <c r="O39" s="47">
        <f>IF(N39="Y",$C$3*Input!$C$29/36*O$4,0)</f>
        <v>0</v>
      </c>
      <c r="P39" s="15">
        <f t="shared" si="6"/>
        <v>0</v>
      </c>
      <c r="Q39" s="75">
        <f t="shared" si="7"/>
        <v>0</v>
      </c>
      <c r="R39" s="76">
        <f t="shared" si="8"/>
        <v>0</v>
      </c>
      <c r="S39" s="26">
        <f>VLOOKUP($B39,'County Data'!$B$9:$P$46,15,FALSE)</f>
        <v>0</v>
      </c>
      <c r="T39" s="47">
        <f>IF(S39="Y",$C$3*Input!$C$29/36*T$4,0)</f>
        <v>0</v>
      </c>
      <c r="U39" s="15">
        <f t="shared" si="9"/>
        <v>0</v>
      </c>
      <c r="V39" s="75">
        <f t="shared" si="10"/>
        <v>0</v>
      </c>
      <c r="W39" s="76">
        <f t="shared" si="11"/>
        <v>0</v>
      </c>
      <c r="X39" s="77">
        <f t="shared" si="12"/>
        <v>0</v>
      </c>
      <c r="Y39" s="46">
        <f t="shared" si="13"/>
        <v>0</v>
      </c>
    </row>
    <row r="40" spans="2:25" x14ac:dyDescent="0.25">
      <c r="B40" s="20" t="str">
        <f>+'County Data'!$B$44</f>
        <v>Washington</v>
      </c>
      <c r="C40" s="15">
        <f>VLOOKUP($B40,'County Data'!$B$10:$P$46,2,FALSE)</f>
        <v>605036</v>
      </c>
      <c r="D40" s="26" t="str">
        <f>VLOOKUP($B40,'County Data'!$B$9:$P$46,12,FALSE)</f>
        <v>Y</v>
      </c>
      <c r="E40" s="75">
        <f>IF(D40="Y",$C$3*Input!$C$29/36*E$4,0)</f>
        <v>0</v>
      </c>
      <c r="F40" s="15">
        <f t="shared" si="0"/>
        <v>605036</v>
      </c>
      <c r="G40" s="75">
        <f t="shared" si="1"/>
        <v>0</v>
      </c>
      <c r="H40" s="76">
        <f t="shared" si="2"/>
        <v>0</v>
      </c>
      <c r="I40" s="26">
        <f>VLOOKUP($B40,'County Data'!$B$9:$P$46,13,FALSE)</f>
        <v>0</v>
      </c>
      <c r="J40" s="47">
        <f>IF(I40="Y",$C$3*Input!$C$29/36*J$4,0)</f>
        <v>0</v>
      </c>
      <c r="K40" s="15">
        <f t="shared" si="3"/>
        <v>0</v>
      </c>
      <c r="L40" s="75">
        <f t="shared" si="4"/>
        <v>0</v>
      </c>
      <c r="M40" s="76">
        <f t="shared" si="5"/>
        <v>0</v>
      </c>
      <c r="N40" s="26">
        <f>VLOOKUP($B40,'County Data'!$B$9:$P$46,14,FALSE)</f>
        <v>0</v>
      </c>
      <c r="O40" s="47">
        <f>IF(N40="Y",$C$3*Input!$C$29/36*O$4,0)</f>
        <v>0</v>
      </c>
      <c r="P40" s="15">
        <f t="shared" si="6"/>
        <v>0</v>
      </c>
      <c r="Q40" s="75">
        <f t="shared" si="7"/>
        <v>0</v>
      </c>
      <c r="R40" s="76">
        <f t="shared" si="8"/>
        <v>0</v>
      </c>
      <c r="S40" s="26">
        <f>VLOOKUP($B40,'County Data'!$B$9:$P$46,15,FALSE)</f>
        <v>0</v>
      </c>
      <c r="T40" s="47">
        <f>IF(S40="Y",$C$3*Input!$C$29/36*T$4,0)</f>
        <v>0</v>
      </c>
      <c r="U40" s="15">
        <f t="shared" si="9"/>
        <v>0</v>
      </c>
      <c r="V40" s="75">
        <f t="shared" si="10"/>
        <v>0</v>
      </c>
      <c r="W40" s="76">
        <f t="shared" si="11"/>
        <v>0</v>
      </c>
      <c r="X40" s="77">
        <f t="shared" si="12"/>
        <v>0</v>
      </c>
      <c r="Y40" s="46">
        <f t="shared" si="13"/>
        <v>0</v>
      </c>
    </row>
    <row r="41" spans="2:25" x14ac:dyDescent="0.25">
      <c r="B41" s="20" t="str">
        <f>+'County Data'!$B$35</f>
        <v>Multnomah</v>
      </c>
      <c r="C41" s="15">
        <f>VLOOKUP($B41,'County Data'!$B$10:$P$46,2,FALSE)</f>
        <v>0</v>
      </c>
      <c r="D41" s="26" t="str">
        <f>VLOOKUP($B41,'County Data'!$B$9:$P$46,12,FALSE)</f>
        <v>Y</v>
      </c>
      <c r="E41" s="75">
        <f>IF(D41="Y",$C$3*Input!$C$29/36*E$4,0)</f>
        <v>0</v>
      </c>
      <c r="F41" s="15">
        <f t="shared" si="0"/>
        <v>0</v>
      </c>
      <c r="G41" s="75">
        <f t="shared" si="1"/>
        <v>0</v>
      </c>
      <c r="H41" s="76">
        <f t="shared" si="2"/>
        <v>0</v>
      </c>
      <c r="I41" s="26">
        <f>VLOOKUP($B41,'County Data'!$B$9:$P$46,13,FALSE)</f>
        <v>0</v>
      </c>
      <c r="J41" s="47">
        <f>IF(I41="Y",$C$3*Input!$C$29/36*J$4,0)</f>
        <v>0</v>
      </c>
      <c r="K41" s="15">
        <f t="shared" si="3"/>
        <v>0</v>
      </c>
      <c r="L41" s="75">
        <f t="shared" si="4"/>
        <v>0</v>
      </c>
      <c r="M41" s="76">
        <f t="shared" si="5"/>
        <v>0</v>
      </c>
      <c r="N41" s="26">
        <f>VLOOKUP($B41,'County Data'!$B$9:$P$46,14,FALSE)</f>
        <v>0</v>
      </c>
      <c r="O41" s="47">
        <f>IF(N41="Y",$C$3*Input!$C$29/36*O$4,0)</f>
        <v>0</v>
      </c>
      <c r="P41" s="15">
        <f t="shared" si="6"/>
        <v>0</v>
      </c>
      <c r="Q41" s="75">
        <f t="shared" si="7"/>
        <v>0</v>
      </c>
      <c r="R41" s="76">
        <f t="shared" si="8"/>
        <v>0</v>
      </c>
      <c r="S41" s="26">
        <f>VLOOKUP($B41,'County Data'!$B$9:$P$46,15,FALSE)</f>
        <v>0</v>
      </c>
      <c r="T41" s="47">
        <f>IF(S41="Y",$C$3*Input!$C$29/36*T$4,0)</f>
        <v>0</v>
      </c>
      <c r="U41" s="15">
        <f t="shared" si="9"/>
        <v>0</v>
      </c>
      <c r="V41" s="75">
        <f t="shared" si="10"/>
        <v>0</v>
      </c>
      <c r="W41" s="76">
        <f t="shared" si="11"/>
        <v>0</v>
      </c>
      <c r="X41" s="77">
        <f t="shared" si="12"/>
        <v>0</v>
      </c>
      <c r="Y41" s="46" t="e">
        <f t="shared" si="13"/>
        <v>#DIV/0!</v>
      </c>
    </row>
    <row r="42" spans="2:25" x14ac:dyDescent="0.25">
      <c r="B42" s="4" t="s">
        <v>2</v>
      </c>
      <c r="C42" s="5">
        <f t="shared" ref="C42:H42" si="14">SUM(C7:C41)</f>
        <v>3445888</v>
      </c>
      <c r="D42" s="5">
        <f>COUNTIF(D7:D41,"Y")</f>
        <v>35</v>
      </c>
      <c r="E42" s="74">
        <f t="shared" si="14"/>
        <v>0</v>
      </c>
      <c r="F42" s="5">
        <f t="shared" si="14"/>
        <v>3445305</v>
      </c>
      <c r="G42" s="74">
        <f t="shared" si="14"/>
        <v>0</v>
      </c>
      <c r="H42" s="74">
        <f t="shared" si="14"/>
        <v>0</v>
      </c>
      <c r="I42" s="5">
        <f>COUNTIF(I7:I41,"Y")</f>
        <v>0</v>
      </c>
      <c r="J42" s="74">
        <f t="shared" ref="J42:M42" si="15">SUM(J7:J41)</f>
        <v>0</v>
      </c>
      <c r="K42" s="70">
        <f>SUM(K7:K41)+0.001</f>
        <v>1E-3</v>
      </c>
      <c r="L42" s="74">
        <f t="shared" si="15"/>
        <v>0</v>
      </c>
      <c r="M42" s="74">
        <f t="shared" si="15"/>
        <v>0</v>
      </c>
      <c r="N42" s="5">
        <f>COUNTIF(N7:N41,"Y")</f>
        <v>0</v>
      </c>
      <c r="O42" s="74">
        <f t="shared" ref="O42" si="16">SUM(O7:O41)</f>
        <v>0</v>
      </c>
      <c r="P42" s="70">
        <f>SUM(P7:P41)+0.001</f>
        <v>1E-3</v>
      </c>
      <c r="Q42" s="74">
        <f t="shared" ref="Q42:R42" si="17">SUM(Q7:Q41)</f>
        <v>0</v>
      </c>
      <c r="R42" s="74">
        <f t="shared" si="17"/>
        <v>0</v>
      </c>
      <c r="S42" s="5">
        <f>COUNTIF(S7:S41,"Y")</f>
        <v>0</v>
      </c>
      <c r="T42" s="74">
        <f t="shared" ref="T42" si="18">SUM(T7:T41)</f>
        <v>0</v>
      </c>
      <c r="U42" s="70">
        <f>SUM(U7:U41)+0.001</f>
        <v>1E-3</v>
      </c>
      <c r="V42" s="74">
        <f t="shared" ref="V42:X42" si="19">SUM(V7:V41)</f>
        <v>0</v>
      </c>
      <c r="W42" s="74">
        <f t="shared" si="19"/>
        <v>0</v>
      </c>
      <c r="X42" s="74">
        <f t="shared" si="19"/>
        <v>0</v>
      </c>
      <c r="Y42" s="73">
        <f t="shared" si="13"/>
        <v>0</v>
      </c>
    </row>
    <row r="43" spans="2:25" x14ac:dyDescent="0.25">
      <c r="E43" s="38"/>
    </row>
  </sheetData>
  <sortState xmlns:xlrd2="http://schemas.microsoft.com/office/spreadsheetml/2017/richdata2" ref="B7:H41">
    <sortCondition ref="C7:C41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1"/>
  <sheetViews>
    <sheetView showGridLines="0" tabSelected="1" zoomScale="80" zoomScaleNormal="80" workbookViewId="0">
      <selection activeCell="U31" sqref="U31"/>
    </sheetView>
  </sheetViews>
  <sheetFormatPr defaultRowHeight="15" x14ac:dyDescent="0.25"/>
  <cols>
    <col min="1" max="1" width="3" bestFit="1" customWidth="1"/>
    <col min="2" max="2" width="22" customWidth="1"/>
    <col min="3" max="6" width="14.28515625" customWidth="1"/>
    <col min="7" max="7" width="15.7109375" customWidth="1"/>
    <col min="8" max="10" width="14.28515625" customWidth="1"/>
    <col min="11" max="11" width="16.42578125" bestFit="1" customWidth="1"/>
    <col min="12" max="13" width="14.28515625" customWidth="1"/>
    <col min="14" max="14" width="13.42578125" bestFit="1" customWidth="1"/>
    <col min="15" max="15" width="11.5703125" bestFit="1" customWidth="1"/>
    <col min="16" max="16" width="11" customWidth="1"/>
    <col min="17" max="17" width="10.140625" bestFit="1" customWidth="1"/>
    <col min="18" max="18" width="11.85546875" customWidth="1"/>
    <col min="20" max="20" width="9.140625" customWidth="1"/>
  </cols>
  <sheetData>
    <row r="1" spans="2:21" ht="18.75" x14ac:dyDescent="0.3">
      <c r="B1" s="24" t="s">
        <v>131</v>
      </c>
      <c r="C1" s="24"/>
    </row>
    <row r="2" spans="2:21" ht="18.75" x14ac:dyDescent="0.3">
      <c r="B2" s="205"/>
      <c r="C2" s="182"/>
      <c r="D2" s="183"/>
      <c r="E2" s="183"/>
      <c r="F2" s="183"/>
    </row>
    <row r="3" spans="2:21" ht="18.75" x14ac:dyDescent="0.25">
      <c r="B3" s="187" t="s">
        <v>144</v>
      </c>
      <c r="C3" s="23"/>
    </row>
    <row r="4" spans="2:21" ht="15.75" x14ac:dyDescent="0.25">
      <c r="B4" s="23"/>
      <c r="C4" s="23"/>
    </row>
    <row r="5" spans="2:21" ht="18.75" x14ac:dyDescent="0.3">
      <c r="B5" s="188" t="s">
        <v>132</v>
      </c>
      <c r="C5" s="186"/>
      <c r="D5" s="183"/>
      <c r="E5" s="183"/>
      <c r="F5" s="183"/>
      <c r="G5" s="189">
        <f>Input!C5</f>
        <v>14500000</v>
      </c>
      <c r="H5" s="183"/>
      <c r="I5" s="183"/>
      <c r="J5" s="183"/>
      <c r="K5" s="183"/>
      <c r="L5" s="183"/>
      <c r="M5" s="183"/>
      <c r="N5" s="183"/>
      <c r="O5" s="183"/>
      <c r="P5" s="183"/>
    </row>
    <row r="6" spans="2:21" ht="18.75" x14ac:dyDescent="0.3">
      <c r="B6" s="188"/>
      <c r="C6" s="186"/>
      <c r="D6" s="183"/>
      <c r="E6" s="183"/>
      <c r="F6" s="183"/>
      <c r="G6" s="189"/>
      <c r="H6" s="183"/>
      <c r="I6" s="183"/>
      <c r="J6" s="183"/>
      <c r="K6" s="183"/>
      <c r="L6" s="183"/>
      <c r="M6" s="183"/>
      <c r="N6" s="183"/>
      <c r="O6" s="183"/>
      <c r="P6" s="183"/>
    </row>
    <row r="7" spans="2:21" ht="19.5" thickBot="1" x14ac:dyDescent="0.3">
      <c r="B7" s="212" t="s">
        <v>151</v>
      </c>
      <c r="C7" s="210"/>
      <c r="D7" s="211"/>
      <c r="E7" s="211"/>
      <c r="F7" s="211"/>
    </row>
    <row r="8" spans="2:21" ht="34.5" customHeight="1" thickTop="1" x14ac:dyDescent="0.25">
      <c r="B8" s="92"/>
      <c r="C8" s="93"/>
      <c r="D8" s="215" t="s">
        <v>113</v>
      </c>
      <c r="E8" s="216"/>
      <c r="F8" s="216"/>
      <c r="G8" s="216"/>
      <c r="H8" s="216"/>
      <c r="I8" s="216"/>
      <c r="J8" s="216"/>
      <c r="K8" s="217"/>
      <c r="L8" s="218" t="s">
        <v>114</v>
      </c>
      <c r="M8" s="219"/>
      <c r="N8" s="215" t="s">
        <v>115</v>
      </c>
      <c r="O8" s="216"/>
      <c r="P8" s="216"/>
      <c r="Q8" s="217"/>
      <c r="R8" s="94"/>
    </row>
    <row r="9" spans="2:21" s="2" customFormat="1" ht="32.25" x14ac:dyDescent="0.25">
      <c r="B9" s="95" t="s">
        <v>7</v>
      </c>
      <c r="C9" s="96" t="s">
        <v>126</v>
      </c>
      <c r="D9" s="131" t="s">
        <v>20</v>
      </c>
      <c r="E9" s="96" t="s">
        <v>16</v>
      </c>
      <c r="F9" s="96" t="s">
        <v>17</v>
      </c>
      <c r="G9" s="96" t="s">
        <v>127</v>
      </c>
      <c r="H9" s="96" t="s">
        <v>128</v>
      </c>
      <c r="I9" s="96" t="s">
        <v>118</v>
      </c>
      <c r="J9" s="96" t="s">
        <v>129</v>
      </c>
      <c r="K9" s="132" t="s">
        <v>130</v>
      </c>
      <c r="L9" s="168" t="s">
        <v>116</v>
      </c>
      <c r="M9" s="169" t="s">
        <v>117</v>
      </c>
      <c r="N9" s="145" t="s">
        <v>39</v>
      </c>
      <c r="O9" s="97" t="s">
        <v>5</v>
      </c>
      <c r="P9" s="97" t="s">
        <v>15</v>
      </c>
      <c r="Q9" s="146" t="s">
        <v>12</v>
      </c>
      <c r="R9" s="98" t="s">
        <v>37</v>
      </c>
    </row>
    <row r="10" spans="2:21" x14ac:dyDescent="0.25">
      <c r="B10" s="99" t="s">
        <v>80</v>
      </c>
      <c r="C10" s="100">
        <f>VLOOKUP($B10,'County Data'!$B$10:$C$46,2,FALSE)</f>
        <v>1456</v>
      </c>
      <c r="D10" s="133">
        <f>VLOOKUP($B10,Floor!$B$6:$M$45,4,FALSE)+3808</f>
        <v>46957.193548387091</v>
      </c>
      <c r="E10" s="101">
        <f>VLOOKUP($B10,Burden!$B$6:$H$41,6,FALSE)</f>
        <v>187.9668391392544</v>
      </c>
      <c r="F10" s="101">
        <f>VLOOKUP($B10,'Health Status'!$B$6:$H$41,6,FALSE)</f>
        <v>490.44747245712409</v>
      </c>
      <c r="G10" s="101">
        <f>VLOOKUP($B10,Ethnicity!$B$6:$H$41,6,FALSE)</f>
        <v>518.07464955611636</v>
      </c>
      <c r="H10" s="101">
        <f>VLOOKUP($B10,Poverty!$B$6:$H$41,6,FALSE)</f>
        <v>1199.4511088632175</v>
      </c>
      <c r="I10" s="101">
        <f>VLOOKUP($B10,Rurality!$B$6:$H$41,6,FALSE)</f>
        <v>3917.4886208661715</v>
      </c>
      <c r="J10" s="101">
        <f>VLOOKUP($B10,Education!$B$6:$H$41,6,FALSE)</f>
        <v>661.44751294330581</v>
      </c>
      <c r="K10" s="134">
        <f>VLOOKUP($B10,Language!$B$6:$H$41,6,FALSE)</f>
        <v>266.83374758815302</v>
      </c>
      <c r="L10" s="170">
        <f>VLOOKUP($B10,Matching!$B$7:$L$41,10,FALSE)</f>
        <v>0</v>
      </c>
      <c r="M10" s="171">
        <f>VLOOKUP($B10,Incentives!$B$7:$Y$41,23,FALSE)</f>
        <v>0</v>
      </c>
      <c r="N10" s="147">
        <f t="shared" ref="N10:N44" si="0">SUM(D10:M10)</f>
        <v>54198.903499800443</v>
      </c>
      <c r="O10" s="102">
        <f t="shared" ref="O10:O44" si="1">N10/$N$45</f>
        <v>3.7378553056767396E-3</v>
      </c>
      <c r="P10" s="102">
        <f t="shared" ref="P10:P44" si="2">C10/$C$45</f>
        <v>4.2253259537164298E-4</v>
      </c>
      <c r="Q10" s="148">
        <f t="shared" ref="Q10:Q45" si="3">N10/C10</f>
        <v>37.224521634478329</v>
      </c>
      <c r="R10" s="103"/>
      <c r="T10" s="22"/>
      <c r="U10" s="22"/>
    </row>
    <row r="11" spans="2:21" x14ac:dyDescent="0.25">
      <c r="B11" s="99" t="s">
        <v>89</v>
      </c>
      <c r="C11" s="100">
        <f>VLOOKUP($B11,'County Data'!$B$10:$C$46,2,FALSE)</f>
        <v>2039</v>
      </c>
      <c r="D11" s="133">
        <f>VLOOKUP($B11,Floor!$B$6:$M$45,4,FALSE)+3808</f>
        <v>46957.193548387091</v>
      </c>
      <c r="E11" s="101">
        <f>VLOOKUP($B11,Burden!$B$6:$H$41,6,FALSE)</f>
        <v>385.29844949657496</v>
      </c>
      <c r="F11" s="101">
        <f>VLOOKUP($B11,'Health Status'!$B$6:$H$41,6,FALSE)</f>
        <v>306.39957116262934</v>
      </c>
      <c r="G11" s="101">
        <f>VLOOKUP($B11,Ethnicity!$B$6:$H$41,6,FALSE)</f>
        <v>878.4889148566599</v>
      </c>
      <c r="H11" s="101">
        <f>VLOOKUP($B11,Poverty!$B$6:$H$41,6,FALSE)</f>
        <v>1711.9811854834441</v>
      </c>
      <c r="I11" s="101">
        <f>VLOOKUP($B11,Rurality!$B$6:$H$41,6,FALSE)</f>
        <v>5486.0984189190413</v>
      </c>
      <c r="J11" s="101">
        <f>VLOOKUP($B11,Education!$B$6:$H$41,6,FALSE)</f>
        <v>894.83721241286605</v>
      </c>
      <c r="K11" s="134">
        <f>VLOOKUP($B11,Language!$B$6:$H$41,6,FALSE)</f>
        <v>41.631266478917063</v>
      </c>
      <c r="L11" s="170">
        <f>VLOOKUP($B11,Matching!$B$7:$L$41,10,FALSE)</f>
        <v>0</v>
      </c>
      <c r="M11" s="171">
        <f>VLOOKUP($B11,Incentives!$B$7:$Y$41,23,FALSE)</f>
        <v>0</v>
      </c>
      <c r="N11" s="147">
        <f t="shared" si="0"/>
        <v>56661.928567197217</v>
      </c>
      <c r="O11" s="102">
        <f t="shared" si="1"/>
        <v>3.9077190985156067E-3</v>
      </c>
      <c r="P11" s="102">
        <f t="shared" si="2"/>
        <v>5.9171975409531591E-4</v>
      </c>
      <c r="Q11" s="148">
        <f t="shared" si="3"/>
        <v>27.789077276702901</v>
      </c>
      <c r="R11" s="103"/>
      <c r="T11" s="22"/>
      <c r="U11" s="22"/>
    </row>
    <row r="12" spans="2:21" x14ac:dyDescent="0.25">
      <c r="B12" s="99" t="s">
        <v>78</v>
      </c>
      <c r="C12" s="100">
        <f>VLOOKUP($B12,'County Data'!$B$10:$C$46,2,FALSE)</f>
        <v>7433</v>
      </c>
      <c r="D12" s="133">
        <f>VLOOKUP($B12,Floor!$B$6:$M$45,4,FALSE)+3808</f>
        <v>46957.193548387091</v>
      </c>
      <c r="E12" s="101">
        <f>VLOOKUP($B12,Burden!$B$6:$H$41,6,FALSE)</f>
        <v>1146.8209604353108</v>
      </c>
      <c r="F12" s="101">
        <f>VLOOKUP($B12,'Health Status'!$B$6:$H$41,6,FALSE)</f>
        <v>1116.9534146404239</v>
      </c>
      <c r="G12" s="101">
        <f>VLOOKUP($B12,Ethnicity!$B$6:$H$41,6,FALSE)</f>
        <v>1817.5457140399756</v>
      </c>
      <c r="H12" s="101">
        <f>VLOOKUP($B12,Poverty!$B$6:$H$41,6,FALSE)</f>
        <v>3969.3268639888656</v>
      </c>
      <c r="I12" s="101">
        <f>VLOOKUP($B12,Rurality!$B$6:$H$41,6,FALSE)</f>
        <v>19999.102279463088</v>
      </c>
      <c r="J12" s="101">
        <f>VLOOKUP($B12,Education!$B$6:$H$41,6,FALSE)</f>
        <v>2893.5031864982516</v>
      </c>
      <c r="K12" s="134">
        <f>VLOOKUP($B12,Language!$B$6:$H$41,6,FALSE)</f>
        <v>777.02526996295853</v>
      </c>
      <c r="L12" s="170">
        <f>VLOOKUP($B12,Matching!$B$7:$L$41,10,FALSE)</f>
        <v>0</v>
      </c>
      <c r="M12" s="171">
        <f>VLOOKUP($B12,Incentives!$B$7:$Y$41,23,FALSE)</f>
        <v>0</v>
      </c>
      <c r="N12" s="147">
        <f t="shared" si="0"/>
        <v>78677.471237415957</v>
      </c>
      <c r="O12" s="102">
        <f t="shared" si="1"/>
        <v>5.4260323422057263E-3</v>
      </c>
      <c r="P12" s="102">
        <f t="shared" si="2"/>
        <v>2.1570637234872405E-3</v>
      </c>
      <c r="Q12" s="148">
        <f t="shared" si="3"/>
        <v>10.584887829599886</v>
      </c>
      <c r="R12" s="103"/>
      <c r="T12" s="22"/>
      <c r="U12" s="22"/>
    </row>
    <row r="13" spans="2:21" x14ac:dyDescent="0.25">
      <c r="B13" s="99" t="s">
        <v>60</v>
      </c>
      <c r="C13" s="100">
        <f>VLOOKUP($B13,'County Data'!$B$10:$C$46,2,FALSE)</f>
        <v>7537</v>
      </c>
      <c r="D13" s="133">
        <f>VLOOKUP($B13,Floor!$B$6:$M$45,4,FALSE)+3808</f>
        <v>46957.193548387091</v>
      </c>
      <c r="E13" s="101">
        <f>VLOOKUP($B13,Burden!$B$6:$H$41,6,FALSE)</f>
        <v>1755.0880450198933</v>
      </c>
      <c r="F13" s="101">
        <f>VLOOKUP($B13,'Health Status'!$B$6:$H$41,6,FALSE)</f>
        <v>927.34856630613785</v>
      </c>
      <c r="G13" s="101">
        <f>VLOOKUP($B13,Ethnicity!$B$6:$H$41,6,FALSE)</f>
        <v>2736.2893458677408</v>
      </c>
      <c r="H13" s="101">
        <f>VLOOKUP($B13,Poverty!$B$6:$H$41,6,FALSE)</f>
        <v>4869.4472997810344</v>
      </c>
      <c r="I13" s="101">
        <f>VLOOKUP($B13,Rurality!$B$6:$H$41,6,FALSE)</f>
        <v>8983.5628425909836</v>
      </c>
      <c r="J13" s="101">
        <f>VLOOKUP($B13,Education!$B$6:$H$41,6,FALSE)</f>
        <v>4316.5397503391887</v>
      </c>
      <c r="K13" s="134">
        <f>VLOOKUP($B13,Language!$B$6:$H$41,6,FALSE)</f>
        <v>871.62480860620724</v>
      </c>
      <c r="L13" s="170">
        <f>VLOOKUP($B13,Matching!$B$7:$L$41,10,FALSE)</f>
        <v>0</v>
      </c>
      <c r="M13" s="171">
        <f>VLOOKUP($B13,Incentives!$B$7:$Y$41,23,FALSE)</f>
        <v>0</v>
      </c>
      <c r="N13" s="147">
        <f t="shared" si="0"/>
        <v>71417.094206898284</v>
      </c>
      <c r="O13" s="102">
        <f t="shared" si="1"/>
        <v>4.9253166994098537E-3</v>
      </c>
      <c r="P13" s="102">
        <f t="shared" si="2"/>
        <v>2.1872446231566436E-3</v>
      </c>
      <c r="Q13" s="148">
        <f t="shared" si="3"/>
        <v>9.4755332634865717</v>
      </c>
      <c r="R13" s="103"/>
      <c r="T13" s="22"/>
      <c r="U13" s="22"/>
    </row>
    <row r="14" spans="2:21" x14ac:dyDescent="0.25">
      <c r="B14" s="99" t="s">
        <v>59</v>
      </c>
      <c r="C14" s="100">
        <f>VLOOKUP($B14,'County Data'!$B$10:$C$46,2,FALSE)</f>
        <v>7226</v>
      </c>
      <c r="D14" s="133">
        <f>VLOOKUP($B14,Floor!$B$6:$M$45,4,FALSE)+3808</f>
        <v>46957.193548387091</v>
      </c>
      <c r="E14" s="101">
        <f>VLOOKUP($B14,Burden!$B$6:$H$41,6,FALSE)</f>
        <v>1649.7906064547585</v>
      </c>
      <c r="F14" s="101">
        <f>VLOOKUP($B14,'Health Status'!$B$6:$H$41,6,FALSE)</f>
        <v>1129.5730295785204</v>
      </c>
      <c r="G14" s="101">
        <f>VLOOKUP($B14,Ethnicity!$B$6:$H$41,6,FALSE)</f>
        <v>1814.8829353208985</v>
      </c>
      <c r="H14" s="101">
        <f>VLOOKUP($B14,Poverty!$B$6:$H$41,6,FALSE)</f>
        <v>5312.6528186117821</v>
      </c>
      <c r="I14" s="101">
        <f>VLOOKUP($B14,Rurality!$B$6:$H$41,6,FALSE)</f>
        <v>19442.151630754775</v>
      </c>
      <c r="J14" s="101">
        <f>VLOOKUP($B14,Education!$B$6:$H$41,6,FALSE)</f>
        <v>5320.4815150190843</v>
      </c>
      <c r="K14" s="134">
        <f>VLOOKUP($B14,Language!$B$6:$H$41,6,FALSE)</f>
        <v>1211.3924078254047</v>
      </c>
      <c r="L14" s="170">
        <f>VLOOKUP($B14,Matching!$B$7:$L$41,10,FALSE)</f>
        <v>0</v>
      </c>
      <c r="M14" s="171">
        <f>VLOOKUP($B14,Incentives!$B$7:$Y$41,23,FALSE)</f>
        <v>0</v>
      </c>
      <c r="N14" s="147">
        <f t="shared" si="0"/>
        <v>82838.118491952308</v>
      </c>
      <c r="O14" s="102">
        <f t="shared" si="1"/>
        <v>5.7129735238751174E-3</v>
      </c>
      <c r="P14" s="102">
        <f t="shared" si="2"/>
        <v>2.0969921251067941E-3</v>
      </c>
      <c r="Q14" s="148">
        <f t="shared" si="3"/>
        <v>11.463896829774745</v>
      </c>
      <c r="R14" s="103"/>
      <c r="T14" s="22"/>
      <c r="U14" s="22"/>
    </row>
    <row r="15" spans="2:21" x14ac:dyDescent="0.25">
      <c r="B15" s="99" t="s">
        <v>66</v>
      </c>
      <c r="C15" s="100">
        <f>VLOOKUP($B15,'County Data'!$B$10:$C$46,2,FALSE)</f>
        <v>8177</v>
      </c>
      <c r="D15" s="133">
        <f>VLOOKUP($B15,Floor!$B$6:$M$45,4,FALSE)+3808</f>
        <v>46957.193548387091</v>
      </c>
      <c r="E15" s="101">
        <f>VLOOKUP($B15,Burden!$B$6:$H$41,6,FALSE)</f>
        <v>2023.7526387839828</v>
      </c>
      <c r="F15" s="101">
        <f>VLOOKUP($B15,'Health Status'!$B$6:$H$41,6,FALSE)</f>
        <v>1476.1540678844115</v>
      </c>
      <c r="G15" s="101">
        <f>VLOOKUP($B15,Ethnicity!$B$6:$H$41,6,FALSE)</f>
        <v>2606.6566671027749</v>
      </c>
      <c r="H15" s="101">
        <f>VLOOKUP($B15,Poverty!$B$6:$H$41,6,FALSE)</f>
        <v>7246.3923127578955</v>
      </c>
      <c r="I15" s="101">
        <f>VLOOKUP($B15,Rurality!$B$6:$H$41,6,FALSE)</f>
        <v>13926.567114448324</v>
      </c>
      <c r="J15" s="101">
        <f>VLOOKUP($B15,Education!$B$6:$H$41,6,FALSE)</f>
        <v>6704.2539647608901</v>
      </c>
      <c r="K15" s="134">
        <f>VLOOKUP($B15,Language!$B$6:$H$41,6,FALSE)</f>
        <v>2796.5449160806279</v>
      </c>
      <c r="L15" s="170">
        <f>VLOOKUP($B15,Matching!$B$7:$L$41,10,FALSE)</f>
        <v>0</v>
      </c>
      <c r="M15" s="171">
        <f>VLOOKUP($B15,Incentives!$B$7:$Y$41,23,FALSE)</f>
        <v>0</v>
      </c>
      <c r="N15" s="147">
        <f t="shared" si="0"/>
        <v>83737.515230206001</v>
      </c>
      <c r="O15" s="102">
        <f t="shared" si="1"/>
        <v>5.7750008833400979E-3</v>
      </c>
      <c r="P15" s="102">
        <f t="shared" si="2"/>
        <v>2.3729732365068163E-3</v>
      </c>
      <c r="Q15" s="148">
        <f t="shared" si="3"/>
        <v>10.240615779650973</v>
      </c>
      <c r="R15" s="103"/>
      <c r="T15" s="22"/>
      <c r="U15" s="22"/>
    </row>
    <row r="16" spans="2:21" x14ac:dyDescent="0.25">
      <c r="B16" s="99" t="s">
        <v>72</v>
      </c>
      <c r="C16" s="100">
        <f>VLOOKUP($B16,'County Data'!$B$10:$C$46,2,FALSE)</f>
        <v>12635</v>
      </c>
      <c r="D16" s="133">
        <f>VLOOKUP($B16,Floor!$B$6:$M$45,4,FALSE)+3808</f>
        <v>46957.193548387091</v>
      </c>
      <c r="E16" s="101">
        <f>VLOOKUP($B16,Burden!$B$6:$H$41,6,FALSE)</f>
        <v>2203.2996570156588</v>
      </c>
      <c r="F16" s="101">
        <f>VLOOKUP($B16,'Health Status'!$B$6:$H$41,6,FALSE)</f>
        <v>3975.7081786756389</v>
      </c>
      <c r="G16" s="101">
        <f>VLOOKUP($B16,Ethnicity!$B$6:$H$41,6,FALSE)</f>
        <v>8113.2417532536629</v>
      </c>
      <c r="H16" s="101">
        <f>VLOOKUP($B16,Poverty!$B$6:$H$41,6,FALSE)</f>
        <v>12184.830323744722</v>
      </c>
      <c r="I16" s="101">
        <f>VLOOKUP($B16,Rurality!$B$6:$H$41,6,FALSE)</f>
        <v>15603.941033387109</v>
      </c>
      <c r="J16" s="101">
        <f>VLOOKUP($B16,Education!$B$6:$H$41,6,FALSE)</f>
        <v>18757.960283472734</v>
      </c>
      <c r="K16" s="134">
        <f>VLOOKUP($B16,Language!$B$6:$H$41,6,FALSE)</f>
        <v>20915.725976040674</v>
      </c>
      <c r="L16" s="170">
        <f>VLOOKUP($B16,Matching!$B$7:$L$41,10,FALSE)</f>
        <v>0</v>
      </c>
      <c r="M16" s="171">
        <f>VLOOKUP($B16,Incentives!$B$7:$Y$41,23,FALSE)</f>
        <v>0</v>
      </c>
      <c r="N16" s="147">
        <f t="shared" si="0"/>
        <v>128711.9007539773</v>
      </c>
      <c r="O16" s="102">
        <f t="shared" si="1"/>
        <v>8.8766825538963787E-3</v>
      </c>
      <c r="P16" s="102">
        <f t="shared" si="2"/>
        <v>3.6666891088741132E-3</v>
      </c>
      <c r="Q16" s="148">
        <f t="shared" si="3"/>
        <v>10.186933181953091</v>
      </c>
      <c r="R16" s="103"/>
      <c r="T16" s="22"/>
      <c r="U16" s="22"/>
    </row>
    <row r="17" spans="1:21" x14ac:dyDescent="0.25">
      <c r="B17" s="99" t="s">
        <v>49</v>
      </c>
      <c r="C17" s="100">
        <f>VLOOKUP($B17,'County Data'!$B$10:$C$46,2,FALSE)</f>
        <v>16860</v>
      </c>
      <c r="D17" s="133">
        <f>VLOOKUP($B17,Floor!$B$6:$M$45,4,FALSE)+3808</f>
        <v>46957.193548387091</v>
      </c>
      <c r="E17" s="101">
        <f>VLOOKUP($B17,Burden!$B$6:$H$41,6,FALSE)</f>
        <v>3902.0991816330493</v>
      </c>
      <c r="F17" s="101">
        <f>VLOOKUP($B17,'Health Status'!$B$6:$H$41,6,FALSE)</f>
        <v>3213.6903847871376</v>
      </c>
      <c r="G17" s="101">
        <f>VLOOKUP($B17,Ethnicity!$B$6:$H$41,6,FALSE)</f>
        <v>5111.2511161999237</v>
      </c>
      <c r="H17" s="101">
        <f>VLOOKUP($B17,Poverty!$B$6:$H$41,6,FALSE)</f>
        <v>12735.498514906069</v>
      </c>
      <c r="I17" s="101">
        <f>VLOOKUP($B17,Rurality!$B$6:$H$41,6,FALSE)</f>
        <v>18598.922967444705</v>
      </c>
      <c r="J17" s="101">
        <f>VLOOKUP($B17,Education!$B$6:$H$41,6,FALSE)</f>
        <v>10041.872003000581</v>
      </c>
      <c r="K17" s="134">
        <f>VLOOKUP($B17,Language!$B$6:$H$41,6,FALSE)</f>
        <v>2069.3000952278721</v>
      </c>
      <c r="L17" s="170">
        <f>VLOOKUP($B17,Matching!$B$7:$L$41,10,FALSE)</f>
        <v>0</v>
      </c>
      <c r="M17" s="171">
        <f>VLOOKUP($B17,Incentives!$B$7:$Y$41,23,FALSE)</f>
        <v>0</v>
      </c>
      <c r="N17" s="147">
        <f t="shared" si="0"/>
        <v>102629.82781158641</v>
      </c>
      <c r="O17" s="102">
        <f t="shared" si="1"/>
        <v>7.0779189547190919E-3</v>
      </c>
      <c r="P17" s="102">
        <f t="shared" si="2"/>
        <v>4.8927881579436125E-3</v>
      </c>
      <c r="Q17" s="148">
        <f t="shared" si="3"/>
        <v>6.0871783992637249</v>
      </c>
      <c r="R17" s="104">
        <f>SUM(N10:N17)/SUM(C10:C17)</f>
        <v>10.398383280448115</v>
      </c>
      <c r="T17" s="22"/>
      <c r="U17" s="22"/>
    </row>
    <row r="18" spans="1:21" x14ac:dyDescent="0.25">
      <c r="B18" s="105" t="s">
        <v>55</v>
      </c>
      <c r="C18" s="106">
        <f>VLOOKUP($B18,'County Data'!$B$10:$C$46,2,FALSE)</f>
        <v>25482</v>
      </c>
      <c r="D18" s="135">
        <f>VLOOKUP($B18,Floor!$B$6:$M$45,4,FALSE)+3808</f>
        <v>68531.790322580637</v>
      </c>
      <c r="E18" s="107">
        <f>VLOOKUP($B18,Burden!$B$6:$H$41,6,FALSE)</f>
        <v>5248.1029775103007</v>
      </c>
      <c r="F18" s="107">
        <f>VLOOKUP($B18,'Health Status'!$B$6:$H$41,6,FALSE)</f>
        <v>5910.7964841437888</v>
      </c>
      <c r="G18" s="107">
        <f>VLOOKUP($B18,Ethnicity!$B$6:$H$41,6,FALSE)</f>
        <v>6924.3007574746798</v>
      </c>
      <c r="H18" s="107">
        <f>VLOOKUP($B18,Poverty!$B$6:$H$41,6,FALSE)</f>
        <v>15618.751210911452</v>
      </c>
      <c r="I18" s="107">
        <f>VLOOKUP($B18,Rurality!$B$6:$H$41,6,FALSE)</f>
        <v>32909.487374806078</v>
      </c>
      <c r="J18" s="107">
        <f>VLOOKUP($B18,Education!$B$6:$H$41,6,FALSE)</f>
        <v>18518.435178297179</v>
      </c>
      <c r="K18" s="136">
        <f>VLOOKUP($B18,Language!$B$6:$H$41,6,FALSE)</f>
        <v>1778.7448978053148</v>
      </c>
      <c r="L18" s="172">
        <f>VLOOKUP($B18,Matching!$B$7:$L$41,10,FALSE)</f>
        <v>0</v>
      </c>
      <c r="M18" s="173">
        <f>VLOOKUP($B18,Incentives!$B$7:$Y$41,23,FALSE)</f>
        <v>0</v>
      </c>
      <c r="N18" s="149">
        <f t="shared" si="0"/>
        <v>155440.40920352942</v>
      </c>
      <c r="O18" s="108">
        <f t="shared" si="1"/>
        <v>1.0720027910898884E-2</v>
      </c>
      <c r="P18" s="108">
        <f t="shared" si="2"/>
        <v>7.3949008209204707E-3</v>
      </c>
      <c r="Q18" s="150">
        <f t="shared" si="3"/>
        <v>6.1000082098551687</v>
      </c>
      <c r="R18" s="103"/>
      <c r="T18" s="22"/>
      <c r="U18" s="22"/>
    </row>
    <row r="19" spans="1:21" x14ac:dyDescent="0.25">
      <c r="A19" s="40"/>
      <c r="B19" s="105" t="s">
        <v>56</v>
      </c>
      <c r="C19" s="106">
        <f>VLOOKUP($B19,'County Data'!$B$10:$C$46,2,FALSE)</f>
        <v>23662</v>
      </c>
      <c r="D19" s="135">
        <f>VLOOKUP($B19,Floor!$B$6:$M$45,4,FALSE)+3808</f>
        <v>68531.790322580637</v>
      </c>
      <c r="E19" s="107">
        <f>VLOOKUP($B19,Burden!$B$6:$H$41,6,FALSE)</f>
        <v>6211.1977969021927</v>
      </c>
      <c r="F19" s="107">
        <f>VLOOKUP($B19,'Health Status'!$B$6:$H$41,6,FALSE)</f>
        <v>4868.1760607134966</v>
      </c>
      <c r="G19" s="107">
        <f>VLOOKUP($B19,Ethnicity!$B$6:$H$41,6,FALSE)</f>
        <v>9628.5253928991351</v>
      </c>
      <c r="H19" s="107">
        <f>VLOOKUP($B19,Poverty!$B$6:$H$41,6,FALSE)</f>
        <v>15428.950562788281</v>
      </c>
      <c r="I19" s="107">
        <f>VLOOKUP($B19,Rurality!$B$6:$H$41,6,FALSE)</f>
        <v>24638.189075593389</v>
      </c>
      <c r="J19" s="107">
        <f>VLOOKUP($B19,Education!$B$6:$H$41,6,FALSE)</f>
        <v>12743.10869885389</v>
      </c>
      <c r="K19" s="136">
        <f>VLOOKUP($B19,Language!$B$6:$H$41,6,FALSE)</f>
        <v>3921.4695491610478</v>
      </c>
      <c r="L19" s="172">
        <f>VLOOKUP($B19,Matching!$B$7:$L$41,10,FALSE)</f>
        <v>0</v>
      </c>
      <c r="M19" s="173">
        <f>VLOOKUP($B19,Incentives!$B$7:$Y$41,23,FALSE)</f>
        <v>0</v>
      </c>
      <c r="N19" s="149">
        <f t="shared" si="0"/>
        <v>145971.40745949207</v>
      </c>
      <c r="O19" s="108">
        <f t="shared" si="1"/>
        <v>1.0066993326748253E-2</v>
      </c>
      <c r="P19" s="108">
        <f t="shared" si="2"/>
        <v>6.8667350767059173E-3</v>
      </c>
      <c r="Q19" s="150">
        <f t="shared" si="3"/>
        <v>6.1690223759399911</v>
      </c>
      <c r="R19" s="103"/>
      <c r="T19" s="22"/>
      <c r="U19" s="22"/>
    </row>
    <row r="20" spans="1:21" x14ac:dyDescent="0.25">
      <c r="A20" s="40"/>
      <c r="B20" s="105" t="s">
        <v>63</v>
      </c>
      <c r="C20" s="106">
        <f>VLOOKUP($B20,'County Data'!$B$10:$C$46,2,FALSE)</f>
        <v>24889</v>
      </c>
      <c r="D20" s="135">
        <f>VLOOKUP($B20,Floor!$B$6:$M$45,4,FALSE)+3807</f>
        <v>68530.790322580637</v>
      </c>
      <c r="E20" s="107">
        <f>VLOOKUP($B20,Burden!$B$6:$H$41,6,FALSE)</f>
        <v>6443.3258197872137</v>
      </c>
      <c r="F20" s="107">
        <f>VLOOKUP($B20,'Health Status'!$B$6:$H$41,6,FALSE)</f>
        <v>3438.8455748914143</v>
      </c>
      <c r="G20" s="107">
        <f>VLOOKUP($B20,Ethnicity!$B$6:$H$41,6,FALSE)</f>
        <v>29829.276829047689</v>
      </c>
      <c r="H20" s="107">
        <f>VLOOKUP($B20,Poverty!$B$6:$H$41,6,FALSE)</f>
        <v>18467.601889247155</v>
      </c>
      <c r="I20" s="107">
        <f>VLOOKUP($B20,Rurality!$B$6:$H$41,6,FALSE)</f>
        <v>42255.493251146814</v>
      </c>
      <c r="J20" s="107">
        <f>VLOOKUP($B20,Education!$B$6:$H$41,6,FALSE)</f>
        <v>19749.598585505868</v>
      </c>
      <c r="K20" s="136">
        <f>VLOOKUP($B20,Language!$B$6:$H$41,6,FALSE)</f>
        <v>15778.70347710123</v>
      </c>
      <c r="L20" s="172">
        <f>VLOOKUP($B20,Matching!$B$7:$L$41,10,FALSE)</f>
        <v>0</v>
      </c>
      <c r="M20" s="173">
        <f>VLOOKUP($B20,Incentives!$B$7:$Y$41,23,FALSE)</f>
        <v>0</v>
      </c>
      <c r="N20" s="149">
        <f t="shared" si="0"/>
        <v>204493.63574930804</v>
      </c>
      <c r="O20" s="108">
        <f t="shared" si="1"/>
        <v>1.4103008954147791E-2</v>
      </c>
      <c r="P20" s="108">
        <f t="shared" si="2"/>
        <v>7.2228116526132013E-3</v>
      </c>
      <c r="Q20" s="150">
        <f t="shared" si="3"/>
        <v>8.2162254710638454</v>
      </c>
      <c r="R20" s="103"/>
      <c r="T20" s="22"/>
      <c r="U20" s="22"/>
    </row>
    <row r="21" spans="1:21" x14ac:dyDescent="0.25">
      <c r="B21" s="105" t="s">
        <v>61</v>
      </c>
      <c r="C21" s="106">
        <f>VLOOKUP($B21,'County Data'!$B$10:$C$46,2,FALSE)</f>
        <v>23888</v>
      </c>
      <c r="D21" s="135">
        <f>VLOOKUP($B21,Floor!$B$6:$M$45,4,FALSE)+3807</f>
        <v>68530.790322580637</v>
      </c>
      <c r="E21" s="107">
        <f>VLOOKUP($B21,Burden!$B$6:$H$41,6,FALSE)</f>
        <v>2866.1480329371007</v>
      </c>
      <c r="F21" s="107">
        <f>VLOOKUP($B21,'Health Status'!$B$6:$H$41,6,FALSE)</f>
        <v>3951.0115327390849</v>
      </c>
      <c r="G21" s="107">
        <f>VLOOKUP($B21,Ethnicity!$B$6:$H$41,6,FALSE)</f>
        <v>14239.689296902405</v>
      </c>
      <c r="H21" s="107">
        <f>VLOOKUP($B21,Poverty!$B$6:$H$41,6,FALSE)</f>
        <v>10579.568179072197</v>
      </c>
      <c r="I21" s="107">
        <f>VLOOKUP($B21,Rurality!$B$6:$H$41,6,FALSE)</f>
        <v>33550.319634258987</v>
      </c>
      <c r="J21" s="107">
        <f>VLOOKUP($B21,Education!$B$6:$H$41,6,FALSE)</f>
        <v>28373.732378780933</v>
      </c>
      <c r="K21" s="136">
        <f>VLOOKUP($B21,Language!$B$6:$H$41,6,FALSE)</f>
        <v>44772.374226848588</v>
      </c>
      <c r="L21" s="172">
        <f>VLOOKUP($B21,Matching!$B$7:$L$41,10,FALSE)</f>
        <v>0</v>
      </c>
      <c r="M21" s="173">
        <f>VLOOKUP($B21,Incentives!$B$7:$Y$41,23,FALSE)</f>
        <v>0</v>
      </c>
      <c r="N21" s="149">
        <f t="shared" si="0"/>
        <v>206863.63360411994</v>
      </c>
      <c r="O21" s="108">
        <f t="shared" si="1"/>
        <v>1.4266457077338765E-2</v>
      </c>
      <c r="P21" s="108">
        <f t="shared" si="2"/>
        <v>6.9323204932951969E-3</v>
      </c>
      <c r="Q21" s="150">
        <f t="shared" si="3"/>
        <v>8.6597301408288647</v>
      </c>
      <c r="R21" s="103"/>
      <c r="T21" s="22"/>
      <c r="U21" s="22"/>
    </row>
    <row r="22" spans="1:21" x14ac:dyDescent="0.25">
      <c r="B22" s="105" t="s">
        <v>75</v>
      </c>
      <c r="C22" s="106">
        <f>VLOOKUP($B22,'County Data'!$B$10:$C$46,2,FALSE)</f>
        <v>27628</v>
      </c>
      <c r="D22" s="135">
        <f>VLOOKUP($B22,Floor!$B$6:$M$45,4,FALSE)+3807</f>
        <v>68530.790322580637</v>
      </c>
      <c r="E22" s="107">
        <f>VLOOKUP($B22,Burden!$B$6:$H$41,6,FALSE)</f>
        <v>6000.1323247210612</v>
      </c>
      <c r="F22" s="107">
        <f>VLOOKUP($B22,'Health Status'!$B$6:$H$41,6,FALSE)</f>
        <v>4708.9145636652729</v>
      </c>
      <c r="G22" s="107">
        <f>VLOOKUP($B22,Ethnicity!$B$6:$H$41,6,FALSE)</f>
        <v>9559.8065145784458</v>
      </c>
      <c r="H22" s="107">
        <f>VLOOKUP($B22,Poverty!$B$6:$H$41,6,FALSE)</f>
        <v>16067.14802959426</v>
      </c>
      <c r="I22" s="107">
        <f>VLOOKUP($B22,Rurality!$B$6:$H$41,6,FALSE)</f>
        <v>51737.454278594952</v>
      </c>
      <c r="J22" s="107">
        <f>VLOOKUP($B22,Education!$B$6:$H$41,6,FALSE)</f>
        <v>18182.178659226447</v>
      </c>
      <c r="K22" s="136">
        <f>VLOOKUP($B22,Language!$B$6:$H$41,6,FALSE)</f>
        <v>14123.701648246868</v>
      </c>
      <c r="L22" s="172">
        <f>VLOOKUP($B22,Matching!$B$7:$L$41,10,FALSE)</f>
        <v>0</v>
      </c>
      <c r="M22" s="173">
        <f>VLOOKUP($B22,Incentives!$B$7:$Y$41,23,FALSE)</f>
        <v>0</v>
      </c>
      <c r="N22" s="149">
        <f t="shared" si="0"/>
        <v>188910.12634120797</v>
      </c>
      <c r="O22" s="108">
        <f t="shared" si="1"/>
        <v>1.3028284198464409E-2</v>
      </c>
      <c r="P22" s="108">
        <f t="shared" si="2"/>
        <v>8.017672077560269E-3</v>
      </c>
      <c r="Q22" s="150">
        <f t="shared" si="3"/>
        <v>6.8376330657741411</v>
      </c>
      <c r="R22" s="103"/>
      <c r="T22" s="22"/>
      <c r="U22" s="22"/>
    </row>
    <row r="23" spans="1:21" x14ac:dyDescent="0.25">
      <c r="B23" s="105" t="s">
        <v>77</v>
      </c>
      <c r="C23" s="106">
        <f>VLOOKUP($B23,'County Data'!$B$10:$C$46,2,FALSE)</f>
        <v>26295</v>
      </c>
      <c r="D23" s="135">
        <f>VLOOKUP($B23,Floor!$B$6:$M$45,4,FALSE)+3807</f>
        <v>68530.790322580637</v>
      </c>
      <c r="E23" s="107">
        <f>VLOOKUP($B23,Burden!$B$6:$H$41,6,FALSE)</f>
        <v>5562.5096749961203</v>
      </c>
      <c r="F23" s="107">
        <f>VLOOKUP($B23,'Health Status'!$B$6:$H$41,6,FALSE)</f>
        <v>2811.0184710707058</v>
      </c>
      <c r="G23" s="107">
        <f>VLOOKUP($B23,Ethnicity!$B$6:$H$41,6,FALSE)</f>
        <v>8488.8995379042917</v>
      </c>
      <c r="H23" s="107">
        <f>VLOOKUP($B23,Poverty!$B$6:$H$41,6,FALSE)</f>
        <v>19839.962917384593</v>
      </c>
      <c r="I23" s="107">
        <f>VLOOKUP($B23,Rurality!$B$6:$H$41,6,FALSE)</f>
        <v>29785.276746751089</v>
      </c>
      <c r="J23" s="107">
        <f>VLOOKUP($B23,Education!$B$6:$H$41,6,FALSE)</f>
        <v>12738.300100525546</v>
      </c>
      <c r="K23" s="136">
        <f>VLOOKUP($B23,Language!$B$6:$H$41,6,FALSE)</f>
        <v>3979.130569520295</v>
      </c>
      <c r="L23" s="172">
        <f>VLOOKUP($B23,Matching!$B$7:$L$41,10,FALSE)</f>
        <v>0</v>
      </c>
      <c r="M23" s="173">
        <f>VLOOKUP($B23,Incentives!$B$7:$Y$41,23,FALSE)</f>
        <v>0</v>
      </c>
      <c r="N23" s="149">
        <f t="shared" si="0"/>
        <v>151735.88834073328</v>
      </c>
      <c r="O23" s="108">
        <f t="shared" si="1"/>
        <v>1.0464543720853531E-2</v>
      </c>
      <c r="P23" s="108">
        <f t="shared" si="2"/>
        <v>7.6308342000668619E-3</v>
      </c>
      <c r="Q23" s="150">
        <f t="shared" si="3"/>
        <v>5.7705224696989266</v>
      </c>
      <c r="R23" s="103"/>
      <c r="T23" s="22"/>
      <c r="U23" s="22"/>
    </row>
    <row r="24" spans="1:21" x14ac:dyDescent="0.25">
      <c r="B24" s="109" t="s">
        <v>142</v>
      </c>
      <c r="C24" s="106">
        <f>VLOOKUP($B24,'County Data'!$B$10:$C$46,2,FALSE)</f>
        <v>28489</v>
      </c>
      <c r="D24" s="135">
        <f>VLOOKUP($B24,Floor!$B$6:$M$45,4,FALSE)+3807</f>
        <v>111679.98387096773</v>
      </c>
      <c r="E24" s="107">
        <f>VLOOKUP($B24,Burden!$B$6:$H$41,6,FALSE)</f>
        <v>6059.4734649288084</v>
      </c>
      <c r="F24" s="107">
        <f>VLOOKUP($B24,'Health Status'!$B$6:$H$41,6,FALSE)</f>
        <v>3964.9795393636068</v>
      </c>
      <c r="G24" s="107">
        <f>VLOOKUP($B24,Ethnicity!$B$6:$H$41,6,FALSE)</f>
        <v>13277.513158916096</v>
      </c>
      <c r="H24" s="107">
        <f>VLOOKUP($B24,Poverty!$B$6:$H$41,6,FALSE)</f>
        <v>18542.813891630147</v>
      </c>
      <c r="I24" s="107">
        <f>VLOOKUP($B24,Rurality!$B$6:$H$41,6,FALSE)</f>
        <v>31810.58607674477</v>
      </c>
      <c r="J24" s="107">
        <f>VLOOKUP($B24,Education!$B$6:$H$41,6,FALSE)</f>
        <v>23683.76443324667</v>
      </c>
      <c r="K24" s="136">
        <f>VLOOKUP($B24,Language!$B$6:$H$41,6,FALSE)</f>
        <v>20801.60450583003</v>
      </c>
      <c r="L24" s="172">
        <f>VLOOKUP($B24,Matching!$B$7:$L$41,10,FALSE)</f>
        <v>0</v>
      </c>
      <c r="M24" s="173">
        <f>VLOOKUP($B24,Incentives!$B$7:$Y$41,23,FALSE)</f>
        <v>0</v>
      </c>
      <c r="N24" s="149">
        <f t="shared" si="0"/>
        <v>229820.71894162786</v>
      </c>
      <c r="O24" s="108">
        <f t="shared" si="1"/>
        <v>1.5849704296205355E-2</v>
      </c>
      <c r="P24" s="108">
        <f t="shared" si="2"/>
        <v>8.2675351027079232E-3</v>
      </c>
      <c r="Q24" s="150">
        <f t="shared" si="3"/>
        <v>8.0669984534953088</v>
      </c>
      <c r="R24" s="103"/>
      <c r="T24" s="22"/>
      <c r="U24" s="22"/>
    </row>
    <row r="25" spans="1:21" x14ac:dyDescent="0.25">
      <c r="B25" s="105" t="s">
        <v>70</v>
      </c>
      <c r="C25" s="106">
        <f>VLOOKUP($B25,'County Data'!$B$10:$C$46,2,FALSE)</f>
        <v>31995</v>
      </c>
      <c r="D25" s="135">
        <f>VLOOKUP($B25,Floor!$B$6:$M$45,4,FALSE)+3807</f>
        <v>68530.790322580637</v>
      </c>
      <c r="E25" s="107">
        <f>VLOOKUP($B25,Burden!$B$6:$H$41,6,FALSE)</f>
        <v>6641.0888575712434</v>
      </c>
      <c r="F25" s="107">
        <f>VLOOKUP($B25,'Health Status'!$B$6:$H$41,6,FALSE)</f>
        <v>8744.5217905322625</v>
      </c>
      <c r="G25" s="107">
        <f>VLOOKUP($B25,Ethnicity!$B$6:$H$41,6,FALSE)</f>
        <v>16754.258819706549</v>
      </c>
      <c r="H25" s="107">
        <f>VLOOKUP($B25,Poverty!$B$6:$H$41,6,FALSE)</f>
        <v>33109.836481306324</v>
      </c>
      <c r="I25" s="107">
        <f>VLOOKUP($B25,Rurality!$B$6:$H$41,6,FALSE)</f>
        <v>41665.235877412619</v>
      </c>
      <c r="J25" s="107">
        <f>VLOOKUP($B25,Education!$B$6:$H$41,6,FALSE)</f>
        <v>40653.649448332872</v>
      </c>
      <c r="K25" s="136">
        <f>VLOOKUP($B25,Language!$B$6:$H$41,6,FALSE)</f>
        <v>28595.374186458645</v>
      </c>
      <c r="L25" s="172">
        <f>VLOOKUP($B25,Matching!$B$7:$L$41,10,FALSE)</f>
        <v>0</v>
      </c>
      <c r="M25" s="173">
        <f>VLOOKUP($B25,Incentives!$B$7:$Y$41,23,FALSE)</f>
        <v>0</v>
      </c>
      <c r="N25" s="149">
        <f t="shared" si="0"/>
        <v>244694.75578390117</v>
      </c>
      <c r="O25" s="108">
        <f t="shared" si="1"/>
        <v>1.6875499910833005E-2</v>
      </c>
      <c r="P25" s="108">
        <f t="shared" si="2"/>
        <v>9.2849796627168385E-3</v>
      </c>
      <c r="Q25" s="150">
        <f t="shared" si="3"/>
        <v>7.6479061035755951</v>
      </c>
      <c r="R25" s="103"/>
      <c r="T25" s="22"/>
      <c r="U25" s="22"/>
    </row>
    <row r="26" spans="1:21" x14ac:dyDescent="0.25">
      <c r="B26" s="105" t="s">
        <v>52</v>
      </c>
      <c r="C26" s="106">
        <f>VLOOKUP($B26,'County Data'!$B$10:$C$46,2,FALSE)</f>
        <v>41428</v>
      </c>
      <c r="D26" s="135">
        <f>VLOOKUP($B26,Floor!$B$6:$M$45,4,FALSE)+3807</f>
        <v>68530.790322580637</v>
      </c>
      <c r="E26" s="107">
        <f>VLOOKUP($B26,Burden!$B$6:$H$41,6,FALSE)</f>
        <v>8777.3597511424614</v>
      </c>
      <c r="F26" s="107">
        <f>VLOOKUP($B26,'Health Status'!$B$6:$H$41,6,FALSE)</f>
        <v>6267.1470589241726</v>
      </c>
      <c r="G26" s="107">
        <f>VLOOKUP($B26,Ethnicity!$B$6:$H$41,6,FALSE)</f>
        <v>17594.327134839186</v>
      </c>
      <c r="H26" s="107">
        <f>VLOOKUP($B26,Poverty!$B$6:$H$41,6,FALSE)</f>
        <v>26074.659314722539</v>
      </c>
      <c r="I26" s="107">
        <f>VLOOKUP($B26,Rurality!$B$6:$H$41,6,FALSE)</f>
        <v>43471.531763904575</v>
      </c>
      <c r="J26" s="107">
        <f>VLOOKUP($B26,Education!$B$6:$H$41,6,FALSE)</f>
        <v>21477.694470773142</v>
      </c>
      <c r="K26" s="136">
        <f>VLOOKUP($B26,Language!$B$6:$H$41,6,FALSE)</f>
        <v>12898.032704742624</v>
      </c>
      <c r="L26" s="172">
        <f>VLOOKUP($B26,Matching!$B$7:$L$41,10,FALSE)</f>
        <v>0</v>
      </c>
      <c r="M26" s="173">
        <f>VLOOKUP($B26,Incentives!$B$7:$Y$41,23,FALSE)</f>
        <v>0</v>
      </c>
      <c r="N26" s="149">
        <f t="shared" si="0"/>
        <v>205091.54252162934</v>
      </c>
      <c r="O26" s="108">
        <f t="shared" si="1"/>
        <v>1.4144243902770495E-2</v>
      </c>
      <c r="P26" s="108">
        <f t="shared" si="2"/>
        <v>1.2022445302923368E-2</v>
      </c>
      <c r="Q26" s="150">
        <f t="shared" si="3"/>
        <v>4.9505537926433654</v>
      </c>
      <c r="R26" s="103"/>
      <c r="T26" s="22"/>
      <c r="U26" s="22"/>
    </row>
    <row r="27" spans="1:21" x14ac:dyDescent="0.25">
      <c r="B27" s="105" t="s">
        <v>68</v>
      </c>
      <c r="C27" s="106">
        <f>VLOOKUP($B27,'County Data'!$B$10:$C$46,2,FALSE)</f>
        <v>50903</v>
      </c>
      <c r="D27" s="135">
        <f>VLOOKUP($B27,Floor!$B$6:$M$45,4,FALSE)+3807</f>
        <v>68530.790322580637</v>
      </c>
      <c r="E27" s="107">
        <f>VLOOKUP($B27,Burden!$B$6:$H$41,6,FALSE)</f>
        <v>12837.826726381087</v>
      </c>
      <c r="F27" s="107">
        <f>VLOOKUP($B27,'Health Status'!$B$6:$H$41,6,FALSE)</f>
        <v>10934.719348541865</v>
      </c>
      <c r="G27" s="107">
        <f>VLOOKUP($B27,Ethnicity!$B$6:$H$41,6,FALSE)</f>
        <v>25623.459245220401</v>
      </c>
      <c r="H27" s="107">
        <f>VLOOKUP($B27,Poverty!$B$6:$H$41,6,FALSE)</f>
        <v>38217.561115790311</v>
      </c>
      <c r="I27" s="107">
        <f>VLOOKUP($B27,Rurality!$B$6:$H$41,6,FALSE)</f>
        <v>51496.485679086174</v>
      </c>
      <c r="J27" s="107">
        <f>VLOOKUP($B27,Education!$B$6:$H$41,6,FALSE)</f>
        <v>26760.703823235057</v>
      </c>
      <c r="K27" s="136">
        <f>VLOOKUP($B27,Language!$B$6:$H$41,6,FALSE)</f>
        <v>12933.586910899608</v>
      </c>
      <c r="L27" s="172">
        <f>VLOOKUP($B27,Matching!$B$7:$L$41,10,FALSE)</f>
        <v>0</v>
      </c>
      <c r="M27" s="173">
        <f>VLOOKUP($B27,Incentives!$B$7:$Y$41,23,FALSE)</f>
        <v>0</v>
      </c>
      <c r="N27" s="149">
        <f t="shared" si="0"/>
        <v>247335.13317173516</v>
      </c>
      <c r="O27" s="108">
        <f t="shared" si="1"/>
        <v>1.7057594897831044E-2</v>
      </c>
      <c r="P27" s="108">
        <f t="shared" si="2"/>
        <v>1.4772099383381004E-2</v>
      </c>
      <c r="Q27" s="150">
        <f t="shared" si="3"/>
        <v>4.8589500259657612</v>
      </c>
      <c r="R27" s="103"/>
      <c r="T27" s="22"/>
      <c r="U27" s="22"/>
    </row>
    <row r="28" spans="1:21" x14ac:dyDescent="0.25">
      <c r="B28" s="105" t="s">
        <v>53</v>
      </c>
      <c r="C28" s="106">
        <f>VLOOKUP($B28,'County Data'!$B$10:$C$46,2,FALSE)</f>
        <v>53014</v>
      </c>
      <c r="D28" s="135">
        <f>VLOOKUP($B28,Floor!$B$6:$M$45,4,FALSE)+3807</f>
        <v>68530.790322580637</v>
      </c>
      <c r="E28" s="107">
        <f>VLOOKUP($B28,Burden!$B$6:$H$41,6,FALSE)</f>
        <v>9978.1949890440701</v>
      </c>
      <c r="F28" s="107">
        <f>VLOOKUP($B28,'Health Status'!$B$6:$H$41,6,FALSE)</f>
        <v>10960.467881186674</v>
      </c>
      <c r="G28" s="107">
        <f>VLOOKUP($B28,Ethnicity!$B$6:$H$41,6,FALSE)</f>
        <v>17501.380633443976</v>
      </c>
      <c r="H28" s="107">
        <f>VLOOKUP($B28,Poverty!$B$6:$H$41,6,FALSE)</f>
        <v>26899.110311116707</v>
      </c>
      <c r="I28" s="107">
        <f>VLOOKUP($B28,Rurality!$B$6:$H$41,6,FALSE)</f>
        <v>62190.41167686625</v>
      </c>
      <c r="J28" s="107">
        <f>VLOOKUP($B28,Education!$B$6:$H$41,6,FALSE)</f>
        <v>33231.210148890459</v>
      </c>
      <c r="K28" s="136">
        <f>VLOOKUP($B28,Language!$B$6:$H$41,6,FALSE)</f>
        <v>4476.3961779706306</v>
      </c>
      <c r="L28" s="172">
        <f>VLOOKUP($B28,Matching!$B$7:$L$41,10,FALSE)</f>
        <v>0</v>
      </c>
      <c r="M28" s="173">
        <f>VLOOKUP($B28,Incentives!$B$7:$Y$41,23,FALSE)</f>
        <v>0</v>
      </c>
      <c r="N28" s="149">
        <f t="shared" si="0"/>
        <v>233767.96214109939</v>
      </c>
      <c r="O28" s="108">
        <f t="shared" si="1"/>
        <v>1.6121927957261438E-2</v>
      </c>
      <c r="P28" s="108">
        <f t="shared" si="2"/>
        <v>1.5384713606478214E-2</v>
      </c>
      <c r="Q28" s="150">
        <f t="shared" si="3"/>
        <v>4.4095514796298971</v>
      </c>
      <c r="R28" s="103"/>
      <c r="T28" s="22"/>
      <c r="U28" s="22"/>
    </row>
    <row r="29" spans="1:21" x14ac:dyDescent="0.25">
      <c r="B29" s="105" t="s">
        <v>54</v>
      </c>
      <c r="C29" s="106">
        <f>VLOOKUP($B29,'County Data'!$B$10:$C$46,2,FALSE)</f>
        <v>65154</v>
      </c>
      <c r="D29" s="135">
        <f>VLOOKUP($B29,Floor!$B$6:$M$45,4,FALSE)+3807</f>
        <v>68530.790322580637</v>
      </c>
      <c r="E29" s="107">
        <f>VLOOKUP($B29,Burden!$B$6:$H$41,6,FALSE)</f>
        <v>16220.113360397967</v>
      </c>
      <c r="F29" s="107">
        <f>VLOOKUP($B29,'Health Status'!$B$6:$H$41,6,FALSE)</f>
        <v>14061.754640679274</v>
      </c>
      <c r="G29" s="107">
        <f>VLOOKUP($B29,Ethnicity!$B$6:$H$41,6,FALSE)</f>
        <v>28959.440838866278</v>
      </c>
      <c r="H29" s="107">
        <f>VLOOKUP($B29,Poverty!$B$6:$H$41,6,FALSE)</f>
        <v>52939.793610555105</v>
      </c>
      <c r="I29" s="107">
        <f>VLOOKUP($B29,Rurality!$B$6:$H$41,6,FALSE)</f>
        <v>67316.058093340107</v>
      </c>
      <c r="J29" s="107">
        <f>VLOOKUP($B29,Education!$B$6:$H$41,6,FALSE)</f>
        <v>44390.431682153765</v>
      </c>
      <c r="K29" s="136">
        <f>VLOOKUP($B29,Language!$B$6:$H$41,6,FALSE)</f>
        <v>11242.933678449257</v>
      </c>
      <c r="L29" s="172">
        <f>VLOOKUP($B29,Matching!$B$7:$L$41,10,FALSE)</f>
        <v>0</v>
      </c>
      <c r="M29" s="173">
        <f>VLOOKUP($B29,Incentives!$B$7:$Y$41,23,FALSE)</f>
        <v>0</v>
      </c>
      <c r="N29" s="149">
        <f t="shared" si="0"/>
        <v>303661.31622702238</v>
      </c>
      <c r="O29" s="108">
        <f t="shared" si="1"/>
        <v>2.0942159134125969E-2</v>
      </c>
      <c r="P29" s="108">
        <f t="shared" si="2"/>
        <v>1.8907753240964303E-2</v>
      </c>
      <c r="Q29" s="150">
        <f t="shared" si="3"/>
        <v>4.6606703537315033</v>
      </c>
      <c r="R29" s="103"/>
      <c r="T29" s="22"/>
      <c r="U29" s="22"/>
    </row>
    <row r="30" spans="1:21" x14ac:dyDescent="0.25">
      <c r="B30" s="105" t="s">
        <v>65</v>
      </c>
      <c r="C30" s="106">
        <f>VLOOKUP($B30,'County Data'!$B$10:$C$46,2,FALSE)</f>
        <v>69822</v>
      </c>
      <c r="D30" s="135">
        <f>VLOOKUP($B30,Floor!$B$6:$M$45,4,FALSE)+3807</f>
        <v>68530.790322580637</v>
      </c>
      <c r="E30" s="107">
        <f>VLOOKUP($B30,Burden!$B$6:$H$41,6,FALSE)</f>
        <v>18874.189590836562</v>
      </c>
      <c r="F30" s="107">
        <f>VLOOKUP($B30,'Health Status'!$B$6:$H$41,6,FALSE)</f>
        <v>12252.541775125906</v>
      </c>
      <c r="G30" s="107">
        <f>VLOOKUP($B30,Ethnicity!$B$6:$H$41,6,FALSE)</f>
        <v>42089.864151939059</v>
      </c>
      <c r="H30" s="107">
        <f>VLOOKUP($B30,Poverty!$B$6:$H$41,6,FALSE)</f>
        <v>64813.450131603182</v>
      </c>
      <c r="I30" s="107">
        <f>VLOOKUP($B30,Rurality!$B$6:$H$41,6,FALSE)</f>
        <v>70636.065125535912</v>
      </c>
      <c r="J30" s="107">
        <f>VLOOKUP($B30,Education!$B$6:$H$41,6,FALSE)</f>
        <v>58366.299845513575</v>
      </c>
      <c r="K30" s="136">
        <f>VLOOKUP($B30,Language!$B$6:$H$41,6,FALSE)</f>
        <v>29471.269013207446</v>
      </c>
      <c r="L30" s="172">
        <f>VLOOKUP($B30,Matching!$B$7:$L$41,10,FALSE)</f>
        <v>0</v>
      </c>
      <c r="M30" s="173">
        <f>VLOOKUP($B30,Incentives!$B$7:$Y$41,23,FALSE)</f>
        <v>0</v>
      </c>
      <c r="N30" s="149">
        <f t="shared" si="0"/>
        <v>365034.46995634236</v>
      </c>
      <c r="O30" s="108">
        <f t="shared" si="1"/>
        <v>2.5174790303391186E-2</v>
      </c>
      <c r="P30" s="108">
        <f t="shared" si="2"/>
        <v>2.0262411314587125E-2</v>
      </c>
      <c r="Q30" s="150">
        <f t="shared" si="3"/>
        <v>5.228072383437059</v>
      </c>
      <c r="R30" s="110">
        <f>SUM(N18:N30)/SUM(C18:C30)</f>
        <v>5.8516732997362189</v>
      </c>
      <c r="T30" s="22"/>
      <c r="U30" s="22"/>
    </row>
    <row r="31" spans="1:21" x14ac:dyDescent="0.25">
      <c r="A31" s="40"/>
      <c r="B31" s="111" t="s">
        <v>76</v>
      </c>
      <c r="C31" s="112">
        <f>VLOOKUP($B31,'County Data'!$B$10:$C$46,2,FALSE)</f>
        <v>80463</v>
      </c>
      <c r="D31" s="137">
        <f>VLOOKUP($B31,Floor!$B$6:$M$45,4,FALSE)+3807</f>
        <v>90105.387096774182</v>
      </c>
      <c r="E31" s="113">
        <f>VLOOKUP($B31,Burden!$B$6:$H$41,6,FALSE)</f>
        <v>16358.752554787305</v>
      </c>
      <c r="F31" s="113">
        <f>VLOOKUP($B31,'Health Status'!$B$6:$H$41,6,FALSE)</f>
        <v>14931.337179300259</v>
      </c>
      <c r="G31" s="113">
        <f>VLOOKUP($B31,Ethnicity!$B$6:$H$41,6,FALSE)</f>
        <v>54930.770118135377</v>
      </c>
      <c r="H31" s="113">
        <f>VLOOKUP($B31,Poverty!$B$6:$H$41,6,FALSE)</f>
        <v>60894.958086370563</v>
      </c>
      <c r="I31" s="113">
        <f>VLOOKUP($B31,Rurality!$B$6:$H$41,6,FALSE)</f>
        <v>62999.278906675572</v>
      </c>
      <c r="J31" s="113">
        <f>VLOOKUP($B31,Education!$B$6:$H$41,6,FALSE)</f>
        <v>92794.506596463805</v>
      </c>
      <c r="K31" s="138">
        <f>VLOOKUP($B31,Language!$B$6:$H$41,6,FALSE)</f>
        <v>88146.090003443576</v>
      </c>
      <c r="L31" s="174">
        <f>VLOOKUP($B31,Matching!$B$7:$L$41,10,FALSE)</f>
        <v>0</v>
      </c>
      <c r="M31" s="175">
        <f>VLOOKUP($B31,Incentives!$B$7:$Y$41,23,FALSE)</f>
        <v>0</v>
      </c>
      <c r="N31" s="151">
        <f t="shared" si="0"/>
        <v>481161.08054195065</v>
      </c>
      <c r="O31" s="114">
        <f t="shared" si="1"/>
        <v>3.3183521836295179E-2</v>
      </c>
      <c r="P31" s="114">
        <f t="shared" si="2"/>
        <v>2.3350439712492108E-2</v>
      </c>
      <c r="Q31" s="152">
        <f t="shared" si="3"/>
        <v>5.9799048076998202</v>
      </c>
      <c r="R31" s="103"/>
      <c r="T31" s="22"/>
      <c r="U31" s="22"/>
    </row>
    <row r="32" spans="1:21" x14ac:dyDescent="0.25">
      <c r="A32" s="40"/>
      <c r="B32" s="111" t="s">
        <v>74</v>
      </c>
      <c r="C32" s="112">
        <f>VLOOKUP($B32,'County Data'!$B$10:$C$46,2,FALSE)</f>
        <v>88916</v>
      </c>
      <c r="D32" s="137">
        <f>VLOOKUP($B32,Floor!$B$6:$M$45,4,FALSE)+3807</f>
        <v>90105.387096774182</v>
      </c>
      <c r="E32" s="113">
        <f>VLOOKUP($B32,Burden!$B$6:$H$41,6,FALSE)</f>
        <v>13948.94962977047</v>
      </c>
      <c r="F32" s="113">
        <f>VLOOKUP($B32,'Health Status'!$B$6:$H$41,6,FALSE)</f>
        <v>16410.2677036639</v>
      </c>
      <c r="G32" s="113">
        <f>VLOOKUP($B32,Ethnicity!$B$6:$H$41,6,FALSE)</f>
        <v>47004.391544679769</v>
      </c>
      <c r="H32" s="113">
        <f>VLOOKUP($B32,Poverty!$B$6:$H$41,6,FALSE)</f>
        <v>50732.749995425525</v>
      </c>
      <c r="I32" s="113">
        <f>VLOOKUP($B32,Rurality!$B$6:$H$41,6,FALSE)</f>
        <v>47607.936967290087</v>
      </c>
      <c r="J32" s="113">
        <f>VLOOKUP($B32,Education!$B$6:$H$41,6,FALSE)</f>
        <v>50980.002417645883</v>
      </c>
      <c r="K32" s="138">
        <f>VLOOKUP($B32,Language!$B$6:$H$41,6,FALSE)</f>
        <v>45005.713037382113</v>
      </c>
      <c r="L32" s="174">
        <f>VLOOKUP($B32,Matching!$B$7:$L$41,10,FALSE)</f>
        <v>0</v>
      </c>
      <c r="M32" s="175">
        <f>VLOOKUP($B32,Incentives!$B$7:$Y$41,23,FALSE)</f>
        <v>0</v>
      </c>
      <c r="N32" s="151">
        <f t="shared" si="0"/>
        <v>361795.39839263191</v>
      </c>
      <c r="O32" s="114">
        <f t="shared" si="1"/>
        <v>2.495140606407855E-2</v>
      </c>
      <c r="P32" s="114">
        <f t="shared" si="2"/>
        <v>2.5803508413506183E-2</v>
      </c>
      <c r="Q32" s="152">
        <f t="shared" si="3"/>
        <v>4.068957199971118</v>
      </c>
      <c r="R32" s="103"/>
      <c r="T32" s="22"/>
      <c r="U32" s="22"/>
    </row>
    <row r="33" spans="2:21" x14ac:dyDescent="0.25">
      <c r="B33" s="111" t="s">
        <v>64</v>
      </c>
      <c r="C33" s="112">
        <f>VLOOKUP($B33,'County Data'!$B$10:$C$46,2,FALSE)</f>
        <v>88728</v>
      </c>
      <c r="D33" s="137">
        <f>VLOOKUP($B33,Floor!$B$6:$M$45,4,FALSE)+3807</f>
        <v>90105.387096774182</v>
      </c>
      <c r="E33" s="113">
        <f>VLOOKUP($B33,Burden!$B$6:$H$41,6,FALSE)</f>
        <v>22887.937396642385</v>
      </c>
      <c r="F33" s="113">
        <f>VLOOKUP($B33,'Health Status'!$B$6:$H$41,6,FALSE)</f>
        <v>19507.510296617562</v>
      </c>
      <c r="G33" s="113">
        <f>VLOOKUP($B33,Ethnicity!$B$6:$H$41,6,FALSE)</f>
        <v>30153.418803592747</v>
      </c>
      <c r="H33" s="113">
        <f>VLOOKUP($B33,Poverty!$B$6:$H$41,6,FALSE)</f>
        <v>82113.390863769324</v>
      </c>
      <c r="I33" s="113">
        <f>VLOOKUP($B33,Rurality!$B$6:$H$41,6,FALSE)</f>
        <v>107428.51556215395</v>
      </c>
      <c r="J33" s="113">
        <f>VLOOKUP($B33,Education!$B$6:$H$41,6,FALSE)</f>
        <v>55288.227164755066</v>
      </c>
      <c r="K33" s="138">
        <f>VLOOKUP($B33,Language!$B$6:$H$41,6,FALSE)</f>
        <v>15592.642527720076</v>
      </c>
      <c r="L33" s="174">
        <f>VLOOKUP($B33,Matching!$B$7:$L$41,10,FALSE)</f>
        <v>0</v>
      </c>
      <c r="M33" s="175">
        <f>VLOOKUP($B33,Incentives!$B$7:$Y$41,23,FALSE)</f>
        <v>0</v>
      </c>
      <c r="N33" s="151">
        <f t="shared" si="0"/>
        <v>423077.02971202525</v>
      </c>
      <c r="O33" s="114">
        <f t="shared" si="1"/>
        <v>2.9177725343186543E-2</v>
      </c>
      <c r="P33" s="114">
        <f t="shared" si="2"/>
        <v>2.5748950633334572E-2</v>
      </c>
      <c r="Q33" s="152">
        <f t="shared" si="3"/>
        <v>4.7682471115321574</v>
      </c>
      <c r="R33" s="103"/>
      <c r="T33" s="22"/>
      <c r="U33" s="22"/>
    </row>
    <row r="34" spans="2:21" x14ac:dyDescent="0.25">
      <c r="B34" s="111" t="s">
        <v>50</v>
      </c>
      <c r="C34" s="112">
        <f>VLOOKUP($B34,'County Data'!$B$10:$C$46,2,FALSE)</f>
        <v>93976</v>
      </c>
      <c r="D34" s="137">
        <f>VLOOKUP($B34,Floor!$B$6:$M$45,4,FALSE)+3807</f>
        <v>90105.387096774182</v>
      </c>
      <c r="E34" s="113">
        <f>VLOOKUP($B34,Burden!$B$6:$H$41,6,FALSE)</f>
        <v>9528.3939633800401</v>
      </c>
      <c r="F34" s="113">
        <f>VLOOKUP($B34,'Health Status'!$B$6:$H$41,6,FALSE)</f>
        <v>10709.767879545036</v>
      </c>
      <c r="G34" s="113">
        <f>VLOOKUP($B34,Ethnicity!$B$6:$H$41,6,FALSE)</f>
        <v>60897.529535287191</v>
      </c>
      <c r="H34" s="113">
        <f>VLOOKUP($B34,Poverty!$B$6:$H$41,6,FALSE)</f>
        <v>71038.010086198236</v>
      </c>
      <c r="I34" s="113">
        <f>VLOOKUP($B34,Rurality!$B$6:$H$41,6,FALSE)</f>
        <v>47535.840109402227</v>
      </c>
      <c r="J34" s="113">
        <f>VLOOKUP($B34,Education!$B$6:$H$41,6,FALSE)</f>
        <v>24384.886975913243</v>
      </c>
      <c r="K34" s="138">
        <f>VLOOKUP($B34,Language!$B$6:$H$41,6,FALSE)</f>
        <v>55491.571987890602</v>
      </c>
      <c r="L34" s="174">
        <f>VLOOKUP($B34,Matching!$B$7:$L$41,10,FALSE)</f>
        <v>0</v>
      </c>
      <c r="M34" s="175">
        <f>VLOOKUP($B34,Incentives!$B$7:$Y$41,23,FALSE)</f>
        <v>0</v>
      </c>
      <c r="N34" s="151">
        <f t="shared" si="0"/>
        <v>369691.38763439073</v>
      </c>
      <c r="O34" s="114">
        <f t="shared" si="1"/>
        <v>2.5495957030519843E-2</v>
      </c>
      <c r="P34" s="114">
        <f t="shared" si="2"/>
        <v>2.7271925262805988E-2</v>
      </c>
      <c r="Q34" s="152">
        <f t="shared" si="3"/>
        <v>3.9338915003233881</v>
      </c>
      <c r="R34" s="103"/>
      <c r="T34" s="22"/>
      <c r="U34" s="22"/>
    </row>
    <row r="35" spans="2:21" x14ac:dyDescent="0.25">
      <c r="B35" s="111" t="s">
        <v>81</v>
      </c>
      <c r="C35" s="112">
        <f>VLOOKUP($B35,'County Data'!$B$10:$C$46,2,FALSE)</f>
        <v>108261</v>
      </c>
      <c r="D35" s="137">
        <f>VLOOKUP($B35,Floor!$B$6:$M$45,4,FALSE)+3807</f>
        <v>90105.387096774182</v>
      </c>
      <c r="E35" s="113">
        <f>VLOOKUP($B35,Burden!$B$6:$H$41,6,FALSE)</f>
        <v>17422.323751131393</v>
      </c>
      <c r="F35" s="113">
        <f>VLOOKUP($B35,'Health Status'!$B$6:$H$41,6,FALSE)</f>
        <v>20089.749255784965</v>
      </c>
      <c r="G35" s="113">
        <f>VLOOKUP($B35,Ethnicity!$B$6:$H$41,6,FALSE)</f>
        <v>58213.682407584041</v>
      </c>
      <c r="H35" s="113">
        <f>VLOOKUP($B35,Poverty!$B$6:$H$41,6,FALSE)</f>
        <v>60091.823528901019</v>
      </c>
      <c r="I35" s="113">
        <f>VLOOKUP($B35,Rurality!$B$6:$H$41,6,FALSE)</f>
        <v>65830.452776024686</v>
      </c>
      <c r="J35" s="113">
        <f>VLOOKUP($B35,Education!$B$6:$H$41,6,FALSE)</f>
        <v>76101.715420251145</v>
      </c>
      <c r="K35" s="138">
        <f>VLOOKUP($B35,Language!$B$6:$H$41,6,FALSE)</f>
        <v>73319.962418071766</v>
      </c>
      <c r="L35" s="174">
        <f>VLOOKUP($B35,Matching!$B$7:$L$41,10,FALSE)</f>
        <v>0</v>
      </c>
      <c r="M35" s="175">
        <f>VLOOKUP($B35,Incentives!$B$7:$Y$41,23,FALSE)</f>
        <v>0</v>
      </c>
      <c r="N35" s="151">
        <f t="shared" si="0"/>
        <v>461175.09665452316</v>
      </c>
      <c r="O35" s="114">
        <f t="shared" si="1"/>
        <v>3.1805178159783981E-2</v>
      </c>
      <c r="P35" s="114">
        <f t="shared" si="2"/>
        <v>3.1417445952973515E-2</v>
      </c>
      <c r="Q35" s="152">
        <f t="shared" si="3"/>
        <v>4.2598451580395817</v>
      </c>
      <c r="R35" s="103"/>
      <c r="T35" s="22"/>
      <c r="U35" s="22"/>
    </row>
    <row r="36" spans="2:21" x14ac:dyDescent="0.25">
      <c r="B36" s="111" t="s">
        <v>58</v>
      </c>
      <c r="C36" s="112">
        <f>VLOOKUP($B36,'County Data'!$B$10:$C$46,2,FALSE)</f>
        <v>111694</v>
      </c>
      <c r="D36" s="137">
        <f>VLOOKUP($B36,Floor!$B$6:$M$45,4,FALSE)+3807</f>
        <v>90105.387096774182</v>
      </c>
      <c r="E36" s="113">
        <f>VLOOKUP($B36,Burden!$B$6:$H$41,6,FALSE)</f>
        <v>28967.226250331565</v>
      </c>
      <c r="F36" s="113">
        <f>VLOOKUP($B36,'Health Status'!$B$6:$H$41,6,FALSE)</f>
        <v>25007.338778778249</v>
      </c>
      <c r="G36" s="113">
        <f>VLOOKUP($B36,Ethnicity!$B$6:$H$41,6,FALSE)</f>
        <v>36903.877207908859</v>
      </c>
      <c r="H36" s="113">
        <f>VLOOKUP($B36,Poverty!$B$6:$H$41,6,FALSE)</f>
        <v>80604.565653285536</v>
      </c>
      <c r="I36" s="113">
        <f>VLOOKUP($B36,Rurality!$B$6:$H$41,6,FALSE)</f>
        <v>123815.04759329587</v>
      </c>
      <c r="J36" s="113">
        <f>VLOOKUP($B36,Education!$B$6:$H$41,6,FALSE)</f>
        <v>71718.629695826705</v>
      </c>
      <c r="K36" s="138">
        <f>VLOOKUP($B36,Language!$B$6:$H$41,6,FALSE)</f>
        <v>16104.401245132687</v>
      </c>
      <c r="L36" s="174">
        <f>VLOOKUP($B36,Matching!$B$7:$L$41,10,FALSE)</f>
        <v>0</v>
      </c>
      <c r="M36" s="175">
        <f>VLOOKUP($B36,Incentives!$B$7:$Y$41,23,FALSE)</f>
        <v>0</v>
      </c>
      <c r="N36" s="151">
        <f t="shared" si="0"/>
        <v>473226.47352133365</v>
      </c>
      <c r="O36" s="114">
        <f t="shared" si="1"/>
        <v>3.2636307574837244E-2</v>
      </c>
      <c r="P36" s="114">
        <f t="shared" si="2"/>
        <v>3.2413705843022174E-2</v>
      </c>
      <c r="Q36" s="152">
        <f t="shared" si="3"/>
        <v>4.2368119462221214</v>
      </c>
      <c r="R36" s="103"/>
      <c r="T36" s="22"/>
      <c r="U36" s="22"/>
    </row>
    <row r="37" spans="2:21" x14ac:dyDescent="0.25">
      <c r="B37" s="111" t="s">
        <v>69</v>
      </c>
      <c r="C37" s="112">
        <f>VLOOKUP($B37,'County Data'!$B$10:$C$46,2,FALSE)</f>
        <v>130440</v>
      </c>
      <c r="D37" s="137">
        <f>VLOOKUP($B37,Floor!$B$6:$M$45,4,FALSE)+3807</f>
        <v>90105.387096774182</v>
      </c>
      <c r="E37" s="113">
        <f>VLOOKUP($B37,Burden!$B$6:$H$41,6,FALSE)</f>
        <v>26141.649512782111</v>
      </c>
      <c r="F37" s="113">
        <f>VLOOKUP($B37,'Health Status'!$B$6:$H$41,6,FALSE)</f>
        <v>23810.80201606941</v>
      </c>
      <c r="G37" s="113">
        <f>VLOOKUP($B37,Ethnicity!$B$6:$H$41,6,FALSE)</f>
        <v>57059.656055873478</v>
      </c>
      <c r="H37" s="113">
        <f>VLOOKUP($B37,Poverty!$B$6:$H$41,6,FALSE)</f>
        <v>87459.391183086613</v>
      </c>
      <c r="I37" s="113">
        <f>VLOOKUP($B37,Rurality!$B$6:$H$41,6,FALSE)</f>
        <v>110903.24187021125</v>
      </c>
      <c r="J37" s="113">
        <f>VLOOKUP($B37,Education!$B$6:$H$41,6,FALSE)</f>
        <v>89810.10024914681</v>
      </c>
      <c r="K37" s="138">
        <f>VLOOKUP($B37,Language!$B$6:$H$41,6,FALSE)</f>
        <v>45671.319097710082</v>
      </c>
      <c r="L37" s="174">
        <f>VLOOKUP($B37,Matching!$B$7:$L$41,10,FALSE)</f>
        <v>0</v>
      </c>
      <c r="M37" s="175">
        <f>VLOOKUP($B37,Incentives!$B$7:$Y$41,23,FALSE)</f>
        <v>0</v>
      </c>
      <c r="N37" s="151">
        <f t="shared" si="0"/>
        <v>530961.54708165396</v>
      </c>
      <c r="O37" s="114">
        <f t="shared" si="1"/>
        <v>3.6618036670738138E-2</v>
      </c>
      <c r="P37" s="114">
        <f t="shared" si="2"/>
        <v>3.7853813008432081E-2</v>
      </c>
      <c r="Q37" s="152">
        <f t="shared" si="3"/>
        <v>4.0705423725977763</v>
      </c>
      <c r="R37" s="115">
        <f>SUM(N31:N37)/SUM(C31:C37)</f>
        <v>4.4144984092576705</v>
      </c>
      <c r="T37" s="22"/>
      <c r="U37" s="22"/>
    </row>
    <row r="38" spans="2:21" x14ac:dyDescent="0.25">
      <c r="B38" s="116" t="s">
        <v>57</v>
      </c>
      <c r="C38" s="117">
        <f>VLOOKUP($B38,'County Data'!$B$10:$C$46,2,FALSE)</f>
        <v>203390</v>
      </c>
      <c r="D38" s="139">
        <f>VLOOKUP($B38,Floor!$B$6:$M$45,4,FALSE)+3807</f>
        <v>111679.98387096773</v>
      </c>
      <c r="E38" s="118">
        <f>VLOOKUP($B38,Burden!$B$6:$H$41,6,FALSE)</f>
        <v>27945.327154396677</v>
      </c>
      <c r="F38" s="118">
        <f>VLOOKUP($B38,'Health Status'!$B$6:$H$41,6,FALSE)</f>
        <v>28101.844247545694</v>
      </c>
      <c r="G38" s="118">
        <f>VLOOKUP($B38,Ethnicity!$B$6:$H$41,6,FALSE)</f>
        <v>63157.007879246848</v>
      </c>
      <c r="H38" s="118">
        <f>VLOOKUP($B38,Poverty!$B$6:$H$41,6,FALSE)</f>
        <v>102438.3972309778</v>
      </c>
      <c r="I38" s="118">
        <f>VLOOKUP($B38,Rurality!$B$6:$H$41,6,FALSE)</f>
        <v>151037.58992104392</v>
      </c>
      <c r="J38" s="118">
        <f>VLOOKUP($B38,Education!$B$6:$H$41,6,FALSE)</f>
        <v>85680.715307903462</v>
      </c>
      <c r="K38" s="140">
        <f>VLOOKUP($B38,Language!$B$6:$H$41,6,FALSE)</f>
        <v>52257.421260569805</v>
      </c>
      <c r="L38" s="176">
        <f>VLOOKUP($B38,Matching!$B$7:$L$41,10,FALSE)</f>
        <v>0</v>
      </c>
      <c r="M38" s="177">
        <f>VLOOKUP($B38,Incentives!$B$7:$Y$41,23,FALSE)</f>
        <v>0</v>
      </c>
      <c r="N38" s="153">
        <f t="shared" si="0"/>
        <v>622298.28687265201</v>
      </c>
      <c r="O38" s="119">
        <f t="shared" si="1"/>
        <v>4.2917121991389598E-2</v>
      </c>
      <c r="P38" s="119">
        <f t="shared" si="2"/>
        <v>5.9023972920768171E-2</v>
      </c>
      <c r="Q38" s="154">
        <f t="shared" si="3"/>
        <v>3.0596306940982938</v>
      </c>
      <c r="R38" s="103"/>
      <c r="T38" s="22"/>
      <c r="U38" s="22"/>
    </row>
    <row r="39" spans="2:21" x14ac:dyDescent="0.25">
      <c r="B39" s="116" t="s">
        <v>62</v>
      </c>
      <c r="C39" s="117">
        <f>VLOOKUP($B39,'County Data'!$B$10:$C$46,2,FALSE)</f>
        <v>223827</v>
      </c>
      <c r="D39" s="139">
        <f>VLOOKUP($B39,Floor!$B$6:$M$45,4,FALSE)+3807</f>
        <v>111679.98387096773</v>
      </c>
      <c r="E39" s="118">
        <f>VLOOKUP($B39,Burden!$B$6:$H$41,6,FALSE)</f>
        <v>43688.392767059158</v>
      </c>
      <c r="F39" s="118">
        <f>VLOOKUP($B39,'Health Status'!$B$6:$H$41,6,FALSE)</f>
        <v>41535.070862772198</v>
      </c>
      <c r="G39" s="118">
        <f>VLOOKUP($B39,Ethnicity!$B$6:$H$41,6,FALSE)</f>
        <v>85695.183663328236</v>
      </c>
      <c r="H39" s="118">
        <f>VLOOKUP($B39,Poverty!$B$6:$H$41,6,FALSE)</f>
        <v>158941.58327455382</v>
      </c>
      <c r="I39" s="118">
        <f>VLOOKUP($B39,Rurality!$B$6:$H$41,6,FALSE)</f>
        <v>121047.24233108871</v>
      </c>
      <c r="J39" s="118">
        <f>VLOOKUP($B39,Education!$B$6:$H$41,6,FALSE)</f>
        <v>145339.79150151866</v>
      </c>
      <c r="K39" s="140">
        <f>VLOOKUP($B39,Language!$B$6:$H$41,6,FALSE)</f>
        <v>86555.28291035071</v>
      </c>
      <c r="L39" s="176">
        <f>VLOOKUP($B39,Matching!$B$7:$L$41,10,FALSE)</f>
        <v>0</v>
      </c>
      <c r="M39" s="177">
        <f>VLOOKUP($B39,Incentives!$B$7:$Y$41,23,FALSE)</f>
        <v>0</v>
      </c>
      <c r="N39" s="153">
        <f t="shared" si="0"/>
        <v>794482.53118163929</v>
      </c>
      <c r="O39" s="119">
        <f t="shared" si="1"/>
        <v>5.4791897117544272E-2</v>
      </c>
      <c r="P39" s="119">
        <f t="shared" si="2"/>
        <v>6.4954809906764235E-2</v>
      </c>
      <c r="Q39" s="154">
        <f t="shared" si="3"/>
        <v>3.5495383987706544</v>
      </c>
      <c r="R39" s="103"/>
      <c r="T39" s="22"/>
      <c r="U39" s="22"/>
    </row>
    <row r="40" spans="2:21" x14ac:dyDescent="0.25">
      <c r="B40" s="116" t="s">
        <v>71</v>
      </c>
      <c r="C40" s="117">
        <f>VLOOKUP($B40,'County Data'!$B$10:$C$46,2,FALSE)</f>
        <v>347182</v>
      </c>
      <c r="D40" s="139">
        <f>VLOOKUP($B40,Floor!$B$6:$M$45,4,FALSE)+3807</f>
        <v>111679.98387096773</v>
      </c>
      <c r="E40" s="118">
        <f>VLOOKUP($B40,Burden!$B$6:$H$41,6,FALSE)</f>
        <v>58532.377891365111</v>
      </c>
      <c r="F40" s="118">
        <f>VLOOKUP($B40,'Health Status'!$B$6:$H$41,6,FALSE)</f>
        <v>67226.900460331351</v>
      </c>
      <c r="G40" s="118">
        <f>VLOOKUP($B40,Ethnicity!$B$6:$H$41,6,FALSE)</f>
        <v>294030.82921889768</v>
      </c>
      <c r="H40" s="118">
        <f>VLOOKUP($B40,Poverty!$B$6:$H$41,6,FALSE)</f>
        <v>255793.47957957757</v>
      </c>
      <c r="I40" s="118">
        <f>VLOOKUP($B40,Rurality!$B$6:$H$41,6,FALSE)</f>
        <v>122369.97321594249</v>
      </c>
      <c r="J40" s="118">
        <f>VLOOKUP($B40,Education!$B$6:$H$41,6,FALSE)</f>
        <v>347889.62966345059</v>
      </c>
      <c r="K40" s="140">
        <f>VLOOKUP($B40,Language!$B$6:$H$41,6,FALSE)</f>
        <v>432626.18439006456</v>
      </c>
      <c r="L40" s="176">
        <f>VLOOKUP($B40,Matching!$B$7:$L$41,10,FALSE)</f>
        <v>0</v>
      </c>
      <c r="M40" s="177">
        <f>VLOOKUP($B40,Incentives!$B$7:$Y$41,23,FALSE)</f>
        <v>0</v>
      </c>
      <c r="N40" s="153">
        <f t="shared" si="0"/>
        <v>1690149.3582905971</v>
      </c>
      <c r="O40" s="119">
        <f t="shared" si="1"/>
        <v>0.1165620213386034</v>
      </c>
      <c r="P40" s="119">
        <f t="shared" si="2"/>
        <v>0.10075254912521824</v>
      </c>
      <c r="Q40" s="154">
        <f t="shared" si="3"/>
        <v>4.8681940834795503</v>
      </c>
      <c r="R40" s="120">
        <f>SUM(N38:N40)/SUM(C38:C40)</f>
        <v>4.0120534457623114</v>
      </c>
      <c r="T40" s="22"/>
      <c r="U40" s="22"/>
    </row>
    <row r="41" spans="2:21" x14ac:dyDescent="0.25">
      <c r="B41" s="121" t="s">
        <v>67</v>
      </c>
      <c r="C41" s="122">
        <f>VLOOKUP($B41,'County Data'!$B$10:$C$46,2,FALSE)</f>
        <v>382647</v>
      </c>
      <c r="D41" s="141">
        <f>VLOOKUP($B41,Floor!$B$6:$M$45,4,FALSE)+3807</f>
        <v>133254.58064516127</v>
      </c>
      <c r="E41" s="123">
        <f>VLOOKUP($B41,Burden!$B$6:$H$41,6,FALSE)</f>
        <v>69809.326550948113</v>
      </c>
      <c r="F41" s="123">
        <f>VLOOKUP($B41,'Health Status'!$B$6:$H$41,6,FALSE)</f>
        <v>64060.608514196872</v>
      </c>
      <c r="G41" s="123">
        <f>VLOOKUP($B41,Ethnicity!$B$6:$H$41,6,FALSE)</f>
        <v>213744.66868226934</v>
      </c>
      <c r="H41" s="123">
        <f>VLOOKUP($B41,Poverty!$B$6:$H$41,6,FALSE)</f>
        <v>301329.88234587217</v>
      </c>
      <c r="I41" s="123">
        <f>VLOOKUP($B41,Rurality!$B$6:$H$41,6,FALSE)</f>
        <v>180170.10436401176</v>
      </c>
      <c r="J41" s="123">
        <f>VLOOKUP($B41,Education!$B$6:$H$41,6,FALSE)</f>
        <v>195107.8089830908</v>
      </c>
      <c r="K41" s="142">
        <f>VLOOKUP($B41,Language!$B$6:$H$41,6,FALSE)</f>
        <v>105236.82592342369</v>
      </c>
      <c r="L41" s="178">
        <f>VLOOKUP($B41,Matching!$B$7:$L$41,10,FALSE)</f>
        <v>0</v>
      </c>
      <c r="M41" s="179">
        <f>VLOOKUP($B41,Incentives!$B$7:$Y$41,23,FALSE)</f>
        <v>0</v>
      </c>
      <c r="N41" s="155">
        <f t="shared" si="0"/>
        <v>1262713.8060089741</v>
      </c>
      <c r="O41" s="124">
        <f t="shared" si="1"/>
        <v>8.7083708240689617E-2</v>
      </c>
      <c r="P41" s="124">
        <f t="shared" si="2"/>
        <v>0.11104452611344304</v>
      </c>
      <c r="Q41" s="156">
        <f t="shared" si="3"/>
        <v>3.2999443508219692</v>
      </c>
      <c r="R41" s="190"/>
      <c r="T41" s="22"/>
      <c r="U41" s="22"/>
    </row>
    <row r="42" spans="2:21" x14ac:dyDescent="0.25">
      <c r="B42" s="121" t="s">
        <v>51</v>
      </c>
      <c r="C42" s="122">
        <f>VLOOKUP($B42,'County Data'!$B$10:$C$46,2,FALSE)</f>
        <v>425316</v>
      </c>
      <c r="D42" s="141">
        <f>VLOOKUP($B42,Floor!$B$6:$M$45,4,FALSE)+3807</f>
        <v>133254.58064516127</v>
      </c>
      <c r="E42" s="123">
        <f>VLOOKUP($B42,Burden!$B$6:$H$41,6,FALSE)</f>
        <v>62746.813064950227</v>
      </c>
      <c r="F42" s="123">
        <f>VLOOKUP($B42,'Health Status'!$B$6:$H$41,6,FALSE)</f>
        <v>62196.275978314508</v>
      </c>
      <c r="G42" s="123">
        <f>VLOOKUP($B42,Ethnicity!$B$6:$H$41,6,FALSE)</f>
        <v>236875.1793187561</v>
      </c>
      <c r="H42" s="123">
        <f>VLOOKUP($B42,Poverty!$B$6:$H$41,6,FALSE)</f>
        <v>158936.73428156477</v>
      </c>
      <c r="I42" s="123">
        <f>VLOOKUP($B42,Rurality!$B$6:$H$41,6,FALSE)</f>
        <v>207126.97585116024</v>
      </c>
      <c r="J42" s="123">
        <f>VLOOKUP($B42,Education!$B$6:$H$41,6,FALSE)</f>
        <v>181698.52124948814</v>
      </c>
      <c r="K42" s="142">
        <f>VLOOKUP($B42,Language!$B$6:$H$41,6,FALSE)</f>
        <v>223479.5721800316</v>
      </c>
      <c r="L42" s="178">
        <f>VLOOKUP($B42,Matching!$B$7:$L$41,10,FALSE)</f>
        <v>0</v>
      </c>
      <c r="M42" s="179">
        <f>VLOOKUP($B42,Incentives!$B$7:$Y$41,23,FALSE)</f>
        <v>0</v>
      </c>
      <c r="N42" s="155">
        <f t="shared" si="0"/>
        <v>1266314.6525694269</v>
      </c>
      <c r="O42" s="124">
        <f t="shared" si="1"/>
        <v>8.7332042479056002E-2</v>
      </c>
      <c r="P42" s="124">
        <f t="shared" si="2"/>
        <v>0.12342711080569073</v>
      </c>
      <c r="Q42" s="156">
        <f t="shared" si="3"/>
        <v>2.9773501409996963</v>
      </c>
      <c r="R42" s="103"/>
      <c r="T42" s="22"/>
      <c r="U42" s="22"/>
    </row>
    <row r="43" spans="2:21" x14ac:dyDescent="0.25">
      <c r="B43" s="121" t="s">
        <v>79</v>
      </c>
      <c r="C43" s="122">
        <f>VLOOKUP($B43,'County Data'!$B$10:$C$46,2,FALSE)</f>
        <v>605036</v>
      </c>
      <c r="D43" s="141">
        <f>VLOOKUP($B43,Floor!$B$6:$M$45,4,FALSE)+3807</f>
        <v>133254.58064516127</v>
      </c>
      <c r="E43" s="123">
        <f>VLOOKUP($B43,Burden!$B$6:$H$41,6,FALSE)</f>
        <v>68286.24976732106</v>
      </c>
      <c r="F43" s="123">
        <f>VLOOKUP($B43,'Health Status'!$B$6:$H$41,6,FALSE)</f>
        <v>92138.857420010638</v>
      </c>
      <c r="G43" s="123">
        <f>VLOOKUP($B43,Ethnicity!$B$6:$H$41,6,FALSE)</f>
        <v>625721.6321565042</v>
      </c>
      <c r="H43" s="123">
        <f>VLOOKUP($B43,Poverty!$B$6:$H$41,6,FALSE)</f>
        <v>252251.24581655764</v>
      </c>
      <c r="I43" s="123">
        <f>VLOOKUP($B43,Rurality!$B$6:$H$41,6,FALSE)</f>
        <v>91162.370969784039</v>
      </c>
      <c r="J43" s="123">
        <f>VLOOKUP($B43,Education!$B$6:$H$41,6,FALSE)</f>
        <v>303200.46189276292</v>
      </c>
      <c r="K43" s="142">
        <f>VLOOKUP($B43,Language!$B$6:$H$41,6,FALSE)</f>
        <v>655244.61298415635</v>
      </c>
      <c r="L43" s="178">
        <f>VLOOKUP($B43,Matching!$B$7:$L$41,10,FALSE)</f>
        <v>0</v>
      </c>
      <c r="M43" s="179">
        <f>VLOOKUP($B43,Incentives!$B$7:$Y$41,23,FALSE)</f>
        <v>0</v>
      </c>
      <c r="N43" s="155">
        <f t="shared" si="0"/>
        <v>2221260.0116522582</v>
      </c>
      <c r="O43" s="124">
        <f t="shared" si="1"/>
        <v>0.15319034120076877</v>
      </c>
      <c r="P43" s="124">
        <f t="shared" si="2"/>
        <v>0.17558202704208611</v>
      </c>
      <c r="Q43" s="156">
        <f t="shared" si="3"/>
        <v>3.6712856948218922</v>
      </c>
      <c r="R43" s="125">
        <f>SUM(N41:N44)/SUM(C41:C44)</f>
        <v>3.3618484303461358</v>
      </c>
      <c r="T43" s="22"/>
      <c r="U43" s="22"/>
    </row>
    <row r="44" spans="2:21" hidden="1" x14ac:dyDescent="0.25">
      <c r="B44" s="121" t="s">
        <v>73</v>
      </c>
      <c r="C44" s="122">
        <f>VLOOKUP($B44,'County Data'!$B$10:$C$46,2,FALSE)</f>
        <v>0</v>
      </c>
      <c r="D44" s="141">
        <f>VLOOKUP($B44,Floor!$B$6:$M$45,4,FALSE)</f>
        <v>0</v>
      </c>
      <c r="E44" s="123">
        <f>VLOOKUP($B44,Burden!$B$6:$H$41,6,FALSE)</f>
        <v>0</v>
      </c>
      <c r="F44" s="123">
        <f>VLOOKUP($B44,'Health Status'!$B$6:$H$41,6,FALSE)</f>
        <v>0</v>
      </c>
      <c r="G44" s="123">
        <f>VLOOKUP($B44,Ethnicity!$B$6:$H$41,6,FALSE)</f>
        <v>0</v>
      </c>
      <c r="H44" s="123">
        <f>VLOOKUP($B44,Poverty!$B$6:$H$41,6,FALSE)</f>
        <v>0</v>
      </c>
      <c r="I44" s="123">
        <f>VLOOKUP($B44,Rurality!$B$6:$H$41,6,FALSE)</f>
        <v>0</v>
      </c>
      <c r="J44" s="123">
        <f>VLOOKUP($B44,Education!$B$6:$H$41,6,FALSE)</f>
        <v>0</v>
      </c>
      <c r="K44" s="142">
        <f>VLOOKUP($B44,Language!$B$6:$H$41,6,FALSE)</f>
        <v>0</v>
      </c>
      <c r="L44" s="178">
        <f>VLOOKUP($B44,Matching!$B$7:$L$41,10,FALSE)</f>
        <v>0</v>
      </c>
      <c r="M44" s="179">
        <f>VLOOKUP($B44,Incentives!$B$7:$Y$41,23,FALSE)</f>
        <v>0</v>
      </c>
      <c r="N44" s="155">
        <f t="shared" si="0"/>
        <v>0</v>
      </c>
      <c r="O44" s="124">
        <f t="shared" si="1"/>
        <v>0</v>
      </c>
      <c r="P44" s="124">
        <f t="shared" si="2"/>
        <v>0</v>
      </c>
      <c r="Q44" s="156" t="e">
        <f t="shared" si="3"/>
        <v>#DIV/0!</v>
      </c>
      <c r="T44" s="22"/>
      <c r="U44" s="22"/>
    </row>
    <row r="45" spans="2:21" ht="15.75" thickBot="1" x14ac:dyDescent="0.3">
      <c r="B45" s="126" t="s">
        <v>2</v>
      </c>
      <c r="C45" s="127">
        <f t="shared" ref="C45:H45" si="4">SUM(C10:C44)</f>
        <v>3445888</v>
      </c>
      <c r="D45" s="143">
        <f t="shared" si="4"/>
        <v>2675250.4193548388</v>
      </c>
      <c r="E45" s="128">
        <f t="shared" si="4"/>
        <v>591237.50000000023</v>
      </c>
      <c r="F45" s="128">
        <f t="shared" si="4"/>
        <v>591237.50000000012</v>
      </c>
      <c r="G45" s="128">
        <f t="shared" si="4"/>
        <v>2128455</v>
      </c>
      <c r="H45" s="128">
        <f t="shared" si="4"/>
        <v>2128455</v>
      </c>
      <c r="I45" s="128">
        <f t="shared" ref="I45:J45" si="5">SUM(I10:I44)</f>
        <v>2128455.0000000005</v>
      </c>
      <c r="J45" s="128">
        <f t="shared" si="5"/>
        <v>2128454.9999999995</v>
      </c>
      <c r="K45" s="144">
        <f t="shared" ref="K45:P45" si="6">SUM(K10:K44)</f>
        <v>2128455</v>
      </c>
      <c r="L45" s="180">
        <f t="shared" si="6"/>
        <v>0</v>
      </c>
      <c r="M45" s="181">
        <f t="shared" si="6"/>
        <v>0</v>
      </c>
      <c r="N45" s="143">
        <f t="shared" si="6"/>
        <v>14500000.419354841</v>
      </c>
      <c r="O45" s="129">
        <f t="shared" si="6"/>
        <v>0.99999999999999989</v>
      </c>
      <c r="P45" s="129">
        <f t="shared" si="6"/>
        <v>1</v>
      </c>
      <c r="Q45" s="157">
        <f t="shared" si="3"/>
        <v>4.207914017912028</v>
      </c>
      <c r="R45" s="130">
        <f>N45/C45</f>
        <v>4.207914017912028</v>
      </c>
      <c r="U45" s="22"/>
    </row>
    <row r="46" spans="2:21" ht="15.75" thickTop="1" x14ac:dyDescent="0.25">
      <c r="N46" s="38"/>
    </row>
    <row r="47" spans="2:21" ht="17.25" x14ac:dyDescent="0.25">
      <c r="B47" s="195" t="s">
        <v>145</v>
      </c>
      <c r="L47" s="214" t="s">
        <v>43</v>
      </c>
      <c r="M47" s="214"/>
      <c r="N47" s="214"/>
      <c r="O47" s="214"/>
      <c r="P47" s="214"/>
    </row>
    <row r="48" spans="2:21" ht="17.25" x14ac:dyDescent="0.25">
      <c r="B48" s="196" t="s">
        <v>146</v>
      </c>
      <c r="C48" s="39"/>
      <c r="D48" s="39"/>
      <c r="E48" s="39"/>
      <c r="F48" s="39"/>
      <c r="L48" s="41" t="s">
        <v>44</v>
      </c>
      <c r="M48" s="42" t="s">
        <v>45</v>
      </c>
      <c r="N48" s="43" t="s">
        <v>46</v>
      </c>
      <c r="O48" s="44" t="s">
        <v>47</v>
      </c>
      <c r="P48" s="45" t="s">
        <v>48</v>
      </c>
    </row>
    <row r="49" spans="2:16" ht="17.25" x14ac:dyDescent="0.25">
      <c r="B49" s="196" t="s">
        <v>147</v>
      </c>
      <c r="C49" s="25"/>
      <c r="L49" t="s">
        <v>119</v>
      </c>
      <c r="M49" t="s">
        <v>120</v>
      </c>
      <c r="N49" t="s">
        <v>121</v>
      </c>
      <c r="O49" t="s">
        <v>122</v>
      </c>
      <c r="P49" t="s">
        <v>123</v>
      </c>
    </row>
    <row r="50" spans="2:16" ht="17.25" x14ac:dyDescent="0.25">
      <c r="B50" s="196" t="s">
        <v>149</v>
      </c>
      <c r="C50" s="25"/>
      <c r="N50" s="38"/>
    </row>
    <row r="51" spans="2:16" ht="17.25" x14ac:dyDescent="0.25">
      <c r="B51" s="196" t="s">
        <v>148</v>
      </c>
      <c r="C51" s="25"/>
    </row>
  </sheetData>
  <sortState xmlns:xlrd2="http://schemas.microsoft.com/office/spreadsheetml/2017/richdata2" ref="T10:U44">
    <sortCondition ref="U10:U44"/>
  </sortState>
  <mergeCells count="4">
    <mergeCell ref="L47:P47"/>
    <mergeCell ref="D8:K8"/>
    <mergeCell ref="L8:M8"/>
    <mergeCell ref="N8:Q8"/>
  </mergeCells>
  <pageMargins left="0.7" right="0.7" top="0.75" bottom="0.75" header="0.3" footer="0.3"/>
  <pageSetup paperSize="5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2"/>
  <sheetViews>
    <sheetView topLeftCell="A4" zoomScaleNormal="100" workbookViewId="0">
      <selection activeCell="S26" sqref="S26"/>
    </sheetView>
  </sheetViews>
  <sheetFormatPr defaultRowHeight="15" x14ac:dyDescent="0.25"/>
  <cols>
    <col min="2" max="2" width="18" customWidth="1"/>
    <col min="3" max="3" width="13" customWidth="1"/>
    <col min="4" max="4" width="12.140625" bestFit="1" customWidth="1"/>
    <col min="5" max="5" width="12.5703125" bestFit="1" customWidth="1"/>
    <col min="6" max="6" width="11.140625" bestFit="1" customWidth="1"/>
    <col min="7" max="7" width="13.5703125" bestFit="1" customWidth="1"/>
    <col min="8" max="8" width="15.140625" bestFit="1" customWidth="1"/>
    <col min="9" max="9" width="10.85546875" bestFit="1" customWidth="1"/>
    <col min="10" max="10" width="11.28515625" bestFit="1" customWidth="1"/>
    <col min="11" max="11" width="14.5703125" bestFit="1" customWidth="1"/>
    <col min="12" max="12" width="14.5703125" hidden="1" customWidth="1"/>
    <col min="13" max="16" width="10.7109375" hidden="1" customWidth="1"/>
  </cols>
  <sheetData>
    <row r="1" spans="2:21" ht="18.75" x14ac:dyDescent="0.3">
      <c r="B1" s="24" t="str">
        <f>Input!$B$1</f>
        <v>PHAB Funding and Incentives Subcommittee</v>
      </c>
    </row>
    <row r="2" spans="2:21" ht="15.75" x14ac:dyDescent="0.25">
      <c r="B2" s="23" t="str">
        <f>Input!$B$2</f>
        <v>Subcommittee Members: Carrie Brogoitti, Bob Dannenhoffer, Jackie Leung, Michael Baker, Veronica Irvin</v>
      </c>
    </row>
    <row r="3" spans="2:21" ht="15.75" x14ac:dyDescent="0.25">
      <c r="B3" s="23" t="str">
        <f>Input!$B$3</f>
        <v>Updated June, 2022</v>
      </c>
    </row>
    <row r="4" spans="2:21" ht="15" customHeight="1" x14ac:dyDescent="0.25"/>
    <row r="5" spans="2:21" x14ac:dyDescent="0.25">
      <c r="B5" t="s">
        <v>21</v>
      </c>
      <c r="C5" s="9">
        <f>Input!C5</f>
        <v>14500000</v>
      </c>
    </row>
    <row r="6" spans="2:21" ht="30" x14ac:dyDescent="0.25">
      <c r="E6" s="28"/>
      <c r="F6" s="28" t="s">
        <v>150</v>
      </c>
      <c r="G6" s="28"/>
      <c r="H6" s="28"/>
      <c r="I6" s="28" t="s">
        <v>150</v>
      </c>
      <c r="J6" s="28"/>
      <c r="K6" s="28"/>
      <c r="L6" s="28"/>
      <c r="M6" s="28"/>
      <c r="N6" s="28"/>
      <c r="O6" s="28"/>
      <c r="P6" s="28"/>
    </row>
    <row r="7" spans="2:21" s="2" customFormat="1" ht="30" x14ac:dyDescent="0.25">
      <c r="B7" s="68" t="s">
        <v>7</v>
      </c>
      <c r="C7" s="193" t="s">
        <v>1</v>
      </c>
      <c r="D7" s="69" t="s">
        <v>20</v>
      </c>
      <c r="E7" s="193" t="s">
        <v>8</v>
      </c>
      <c r="F7" s="193" t="s">
        <v>9</v>
      </c>
      <c r="G7" s="193" t="s">
        <v>18</v>
      </c>
      <c r="H7" s="193" t="s">
        <v>82</v>
      </c>
      <c r="I7" s="193" t="s">
        <v>83</v>
      </c>
      <c r="J7" s="193" t="s">
        <v>40</v>
      </c>
      <c r="K7" s="193" t="s">
        <v>19</v>
      </c>
      <c r="L7" s="191" t="s">
        <v>109</v>
      </c>
      <c r="M7" s="191" t="s">
        <v>93</v>
      </c>
      <c r="N7" s="191" t="s">
        <v>97</v>
      </c>
      <c r="O7" s="191" t="s">
        <v>98</v>
      </c>
      <c r="P7" s="192" t="s">
        <v>99</v>
      </c>
    </row>
    <row r="8" spans="2:21" x14ac:dyDescent="0.25">
      <c r="B8" s="62" t="s">
        <v>10</v>
      </c>
      <c r="C8" s="63">
        <f>Input!C15</f>
        <v>0</v>
      </c>
      <c r="D8" s="63">
        <f>Input!C7</f>
        <v>0.1845</v>
      </c>
      <c r="E8" s="63">
        <f>Input!C16</f>
        <v>4.0775000000000006E-2</v>
      </c>
      <c r="F8" s="63">
        <f>Input!C17</f>
        <v>4.0775000000000006E-2</v>
      </c>
      <c r="G8" s="63">
        <f>Input!C18</f>
        <v>0.14679</v>
      </c>
      <c r="H8" s="63">
        <f>Input!C20</f>
        <v>0.14679</v>
      </c>
      <c r="I8" s="63">
        <f>Input!C19</f>
        <v>0.14679</v>
      </c>
      <c r="J8" s="63">
        <f>Input!C21</f>
        <v>0.14679</v>
      </c>
      <c r="K8" s="63">
        <f>Input!C22</f>
        <v>0.14679</v>
      </c>
      <c r="L8" s="63">
        <f>Input!C25</f>
        <v>0</v>
      </c>
      <c r="M8" s="63">
        <f>Input!C31</f>
        <v>0</v>
      </c>
      <c r="N8" s="63">
        <f>Input!C32</f>
        <v>0</v>
      </c>
      <c r="O8" s="63">
        <f>Input!C33</f>
        <v>0</v>
      </c>
      <c r="P8" s="64">
        <f>Input!C34</f>
        <v>0</v>
      </c>
      <c r="Q8" s="194">
        <f>1-SUM(C8:P8)</f>
        <v>0</v>
      </c>
    </row>
    <row r="9" spans="2:21" x14ac:dyDescent="0.25">
      <c r="B9" s="65" t="s">
        <v>11</v>
      </c>
      <c r="C9" s="66">
        <f>$C$5*C$8</f>
        <v>0</v>
      </c>
      <c r="D9" s="66">
        <f t="shared" ref="D9:P9" si="0">$C$5*D$8</f>
        <v>2675250</v>
      </c>
      <c r="E9" s="66">
        <f t="shared" si="0"/>
        <v>591237.50000000012</v>
      </c>
      <c r="F9" s="66">
        <f t="shared" si="0"/>
        <v>591237.50000000012</v>
      </c>
      <c r="G9" s="66">
        <f t="shared" si="0"/>
        <v>2128455</v>
      </c>
      <c r="H9" s="66">
        <f t="shared" si="0"/>
        <v>2128455</v>
      </c>
      <c r="I9" s="66">
        <f t="shared" si="0"/>
        <v>2128455</v>
      </c>
      <c r="J9" s="66">
        <f t="shared" si="0"/>
        <v>2128455</v>
      </c>
      <c r="K9" s="66">
        <f t="shared" si="0"/>
        <v>2128455</v>
      </c>
      <c r="L9" s="66">
        <f t="shared" si="0"/>
        <v>0</v>
      </c>
      <c r="M9" s="66">
        <f t="shared" si="0"/>
        <v>0</v>
      </c>
      <c r="N9" s="66">
        <f t="shared" si="0"/>
        <v>0</v>
      </c>
      <c r="O9" s="66">
        <f t="shared" si="0"/>
        <v>0</v>
      </c>
      <c r="P9" s="67">
        <f t="shared" si="0"/>
        <v>0</v>
      </c>
    </row>
    <row r="10" spans="2:21" x14ac:dyDescent="0.25">
      <c r="B10" s="17" t="s">
        <v>49</v>
      </c>
      <c r="C10" s="159">
        <v>16860</v>
      </c>
      <c r="D10" s="56" t="str">
        <f>IF(C10&gt;375000,"Extra Large",IF(C10&gt;150000,"Large",IF(C10&gt;75000,"Medium",IF(C10&gt;20000,"Small","Extra Small"))))</f>
        <v>Extra Small</v>
      </c>
      <c r="E10" s="162">
        <v>8.8519260681305445E-2</v>
      </c>
      <c r="F10" s="162">
        <v>0.18899999999999997</v>
      </c>
      <c r="G10" s="162">
        <v>7.7563704164077069E-2</v>
      </c>
      <c r="H10" s="165">
        <v>0.25430284277702569</v>
      </c>
      <c r="I10" s="35">
        <v>0.41</v>
      </c>
      <c r="J10" s="162">
        <v>8.7799600532623173E-2</v>
      </c>
      <c r="K10" s="162">
        <v>9.7955985110690265E-3</v>
      </c>
      <c r="L10" s="84">
        <v>361764</v>
      </c>
      <c r="M10" s="78" t="s">
        <v>4</v>
      </c>
      <c r="N10" s="78"/>
      <c r="O10" s="78"/>
      <c r="P10" s="79"/>
      <c r="Q10" s="7"/>
      <c r="T10" s="209"/>
      <c r="U10" s="209"/>
    </row>
    <row r="11" spans="2:21" x14ac:dyDescent="0.25">
      <c r="B11" s="18" t="s">
        <v>50</v>
      </c>
      <c r="C11" s="160">
        <v>93976</v>
      </c>
      <c r="D11" s="57" t="str">
        <f t="shared" ref="D11:D46" si="1">IF(C11&gt;375000,"Extra Large",IF(C11&gt;150000,"Large",IF(C11&gt;75000,"Medium",IF(C11&gt;20000,"Small","Extra Small"))))</f>
        <v>Medium</v>
      </c>
      <c r="E11" s="163">
        <v>3.8779284690828197E-2</v>
      </c>
      <c r="F11" s="163">
        <v>0.113</v>
      </c>
      <c r="G11" s="163">
        <v>0.16579506987240691</v>
      </c>
      <c r="H11" s="166">
        <v>0.25448762433495259</v>
      </c>
      <c r="I11" s="36">
        <v>0.188</v>
      </c>
      <c r="J11" s="163">
        <v>3.8250685272863197E-2</v>
      </c>
      <c r="K11" s="163">
        <v>4.7127580203929369E-2</v>
      </c>
      <c r="L11" s="85">
        <v>1791995</v>
      </c>
      <c r="M11" s="80" t="s">
        <v>4</v>
      </c>
      <c r="N11" s="80"/>
      <c r="O11" s="80"/>
      <c r="P11" s="81"/>
      <c r="Q11" s="7"/>
      <c r="T11" s="209"/>
      <c r="U11" s="209"/>
    </row>
    <row r="12" spans="2:21" x14ac:dyDescent="0.25">
      <c r="B12" s="18" t="s">
        <v>51</v>
      </c>
      <c r="C12" s="160">
        <v>425316</v>
      </c>
      <c r="D12" s="57" t="str">
        <f t="shared" si="1"/>
        <v>Extra Large</v>
      </c>
      <c r="E12" s="163">
        <v>5.6425705308362557E-2</v>
      </c>
      <c r="F12" s="163">
        <v>0.14499999999999999</v>
      </c>
      <c r="G12" s="163">
        <v>0.14249404939723043</v>
      </c>
      <c r="H12" s="166">
        <v>0.12580717205752406</v>
      </c>
      <c r="I12" s="36">
        <v>0.18099999999999999</v>
      </c>
      <c r="J12" s="163">
        <v>6.2976004128906082E-2</v>
      </c>
      <c r="K12" s="163">
        <v>4.1936403240910386E-2</v>
      </c>
      <c r="L12" s="85">
        <v>5019520</v>
      </c>
      <c r="M12" s="80" t="s">
        <v>4</v>
      </c>
      <c r="N12" s="80"/>
      <c r="O12" s="80"/>
      <c r="P12" s="81"/>
      <c r="Q12" s="7"/>
      <c r="T12" s="209"/>
      <c r="U12" s="209"/>
    </row>
    <row r="13" spans="2:21" x14ac:dyDescent="0.25">
      <c r="B13" s="18" t="s">
        <v>52</v>
      </c>
      <c r="C13" s="160">
        <v>41428</v>
      </c>
      <c r="D13" s="57" t="str">
        <f t="shared" si="1"/>
        <v>Small</v>
      </c>
      <c r="E13" s="163">
        <v>8.1033943761620347E-2</v>
      </c>
      <c r="F13" s="163">
        <v>0.15</v>
      </c>
      <c r="G13" s="163">
        <v>0.10865947145450877</v>
      </c>
      <c r="H13" s="166">
        <v>0.21189343968911387</v>
      </c>
      <c r="I13" s="36">
        <v>0.39</v>
      </c>
      <c r="J13" s="163">
        <v>7.6423886779426992E-2</v>
      </c>
      <c r="K13" s="163">
        <v>2.4848179479699806E-2</v>
      </c>
      <c r="L13" s="85">
        <v>446000</v>
      </c>
      <c r="M13" s="80" t="s">
        <v>4</v>
      </c>
      <c r="N13" s="80"/>
      <c r="O13" s="80"/>
      <c r="P13" s="81"/>
      <c r="Q13" s="7"/>
      <c r="T13" s="209"/>
      <c r="U13" s="209"/>
    </row>
    <row r="14" spans="2:21" x14ac:dyDescent="0.25">
      <c r="B14" s="18" t="s">
        <v>53</v>
      </c>
      <c r="C14" s="160">
        <v>53014</v>
      </c>
      <c r="D14" s="57" t="str">
        <f t="shared" si="1"/>
        <v>Small</v>
      </c>
      <c r="E14" s="163">
        <v>7.1987726357316831E-2</v>
      </c>
      <c r="F14" s="163">
        <v>0.20499999999999999</v>
      </c>
      <c r="G14" s="163">
        <v>8.4463802598000653E-2</v>
      </c>
      <c r="H14" s="166">
        <v>0.17082057444086979</v>
      </c>
      <c r="I14" s="36">
        <v>0.436</v>
      </c>
      <c r="J14" s="163">
        <v>9.2404051172707891E-2</v>
      </c>
      <c r="K14" s="163">
        <v>6.7391172363548057E-3</v>
      </c>
      <c r="L14" s="85">
        <v>615328</v>
      </c>
      <c r="M14" s="80" t="s">
        <v>4</v>
      </c>
      <c r="N14" s="80"/>
      <c r="O14" s="80"/>
      <c r="P14" s="81"/>
      <c r="Q14" s="7"/>
      <c r="T14" s="209"/>
      <c r="U14" s="209"/>
    </row>
    <row r="15" spans="2:21" x14ac:dyDescent="0.25">
      <c r="B15" s="18" t="s">
        <v>54</v>
      </c>
      <c r="C15" s="160">
        <v>65154</v>
      </c>
      <c r="D15" s="57" t="str">
        <f t="shared" si="1"/>
        <v>Small</v>
      </c>
      <c r="E15" s="163">
        <v>9.5215980949122009E-2</v>
      </c>
      <c r="F15" s="163">
        <v>0.214</v>
      </c>
      <c r="G15" s="163">
        <v>0.11372029606544605</v>
      </c>
      <c r="H15" s="166">
        <v>0.27354828487681215</v>
      </c>
      <c r="I15" s="36">
        <v>0.38400000000000001</v>
      </c>
      <c r="J15" s="163">
        <v>0.10043468313886983</v>
      </c>
      <c r="K15" s="163">
        <v>1.3772209940227625E-2</v>
      </c>
      <c r="L15" s="85">
        <v>332653</v>
      </c>
      <c r="M15" s="80" t="s">
        <v>4</v>
      </c>
      <c r="N15" s="80"/>
      <c r="O15" s="80"/>
      <c r="P15" s="81"/>
      <c r="Q15" s="7"/>
      <c r="T15" s="209"/>
      <c r="U15" s="209"/>
    </row>
    <row r="16" spans="2:21" x14ac:dyDescent="0.25">
      <c r="B16" s="18" t="s">
        <v>55</v>
      </c>
      <c r="C16" s="160">
        <v>25482</v>
      </c>
      <c r="D16" s="57" t="str">
        <f t="shared" si="1"/>
        <v>Small</v>
      </c>
      <c r="E16" s="163">
        <v>7.877091335199532E-2</v>
      </c>
      <c r="F16" s="163">
        <v>0.23</v>
      </c>
      <c r="G16" s="163">
        <v>6.9523448363038809E-2</v>
      </c>
      <c r="H16" s="166">
        <v>0.20635055038103303</v>
      </c>
      <c r="I16" s="36">
        <v>0.48</v>
      </c>
      <c r="J16" s="163">
        <v>0.10712879086254432</v>
      </c>
      <c r="K16" s="163">
        <v>5.5711547889646567E-3</v>
      </c>
      <c r="L16" s="85">
        <v>1584688</v>
      </c>
      <c r="M16" s="80" t="s">
        <v>4</v>
      </c>
      <c r="N16" s="80"/>
      <c r="O16" s="80"/>
      <c r="P16" s="81"/>
      <c r="Q16" s="7"/>
      <c r="T16" s="209"/>
      <c r="U16" s="209"/>
    </row>
    <row r="17" spans="2:21" x14ac:dyDescent="0.25">
      <c r="B17" s="18" t="s">
        <v>56</v>
      </c>
      <c r="C17" s="160">
        <v>23662</v>
      </c>
      <c r="D17" s="57" t="str">
        <f t="shared" si="1"/>
        <v>Small</v>
      </c>
      <c r="E17" s="163">
        <v>0.10039705048213272</v>
      </c>
      <c r="F17" s="163">
        <v>0.20399999999999999</v>
      </c>
      <c r="G17" s="163">
        <v>0.10411114509152868</v>
      </c>
      <c r="H17" s="166">
        <v>0.21952185972790914</v>
      </c>
      <c r="I17" s="36">
        <v>0.38700000000000001</v>
      </c>
      <c r="J17" s="163">
        <v>7.9388823592264124E-2</v>
      </c>
      <c r="K17" s="163">
        <v>1.322703388294981E-2</v>
      </c>
      <c r="L17" s="85">
        <v>703878</v>
      </c>
      <c r="M17" s="80" t="s">
        <v>4</v>
      </c>
      <c r="N17" s="80"/>
      <c r="O17" s="80"/>
      <c r="P17" s="81"/>
      <c r="Q17" s="7"/>
      <c r="T17" s="209"/>
      <c r="U17" s="209"/>
    </row>
    <row r="18" spans="2:21" x14ac:dyDescent="0.25">
      <c r="B18" s="18" t="s">
        <v>57</v>
      </c>
      <c r="C18" s="160">
        <v>203390</v>
      </c>
      <c r="D18" s="57" t="str">
        <f t="shared" si="1"/>
        <v>Large</v>
      </c>
      <c r="E18" s="163">
        <v>5.2550475049370743E-2</v>
      </c>
      <c r="F18" s="163">
        <v>0.13699999999999998</v>
      </c>
      <c r="G18" s="163">
        <v>7.9447611200058416E-2</v>
      </c>
      <c r="H18" s="166">
        <v>0.16956101760759321</v>
      </c>
      <c r="I18" s="36">
        <v>0.27600000000000002</v>
      </c>
      <c r="J18" s="163">
        <v>6.2099616202257131E-2</v>
      </c>
      <c r="K18" s="163">
        <v>2.0506117786613359E-2</v>
      </c>
      <c r="L18" s="85">
        <v>3814900</v>
      </c>
      <c r="M18" s="80" t="s">
        <v>4</v>
      </c>
      <c r="N18" s="80"/>
      <c r="O18" s="80"/>
      <c r="P18" s="81"/>
      <c r="Q18" s="7"/>
      <c r="T18" s="209"/>
      <c r="U18" s="209"/>
    </row>
    <row r="19" spans="2:21" x14ac:dyDescent="0.25">
      <c r="B19" s="18" t="s">
        <v>58</v>
      </c>
      <c r="C19" s="160">
        <v>111694</v>
      </c>
      <c r="D19" s="57" t="str">
        <f t="shared" si="1"/>
        <v>Medium</v>
      </c>
      <c r="E19" s="163">
        <v>9.9191420929058777E-2</v>
      </c>
      <c r="F19" s="163">
        <v>0.222</v>
      </c>
      <c r="G19" s="163">
        <v>8.4533927191746586E-2</v>
      </c>
      <c r="H19" s="166">
        <v>0.24295320560058953</v>
      </c>
      <c r="I19" s="36">
        <v>0.41199999999999998</v>
      </c>
      <c r="J19" s="163">
        <v>9.4653694012432121E-2</v>
      </c>
      <c r="K19" s="163">
        <v>1.1507468835934731E-2</v>
      </c>
      <c r="L19" s="85">
        <v>444652</v>
      </c>
      <c r="M19" s="80" t="s">
        <v>4</v>
      </c>
      <c r="N19" s="80"/>
      <c r="O19" s="80"/>
      <c r="P19" s="81"/>
      <c r="Q19" s="7"/>
      <c r="T19" s="209"/>
      <c r="U19" s="209"/>
    </row>
    <row r="20" spans="2:21" x14ac:dyDescent="0.25">
      <c r="B20" s="27" t="s">
        <v>89</v>
      </c>
      <c r="C20" s="54">
        <v>2039</v>
      </c>
      <c r="D20" s="54" t="str">
        <f t="shared" si="1"/>
        <v>Extra Small</v>
      </c>
      <c r="E20" s="55">
        <v>7.2273166023166024E-2</v>
      </c>
      <c r="F20" s="55">
        <v>0.14899999999999999</v>
      </c>
      <c r="G20" s="55">
        <v>0.11023206751054852</v>
      </c>
      <c r="H20" s="184">
        <v>0.28266666666666668</v>
      </c>
      <c r="I20" s="55">
        <v>1</v>
      </c>
      <c r="J20" s="55">
        <v>6.4693737095664144E-2</v>
      </c>
      <c r="K20" s="55">
        <v>1.6295491580662683E-3</v>
      </c>
      <c r="L20" s="197"/>
      <c r="M20" s="197"/>
      <c r="N20" s="197"/>
      <c r="O20" s="197"/>
      <c r="P20" s="198"/>
      <c r="Q20" s="7"/>
      <c r="T20" s="209"/>
      <c r="U20" s="209"/>
    </row>
    <row r="21" spans="2:21" x14ac:dyDescent="0.25">
      <c r="B21" s="18" t="s">
        <v>59</v>
      </c>
      <c r="C21" s="160">
        <v>7226</v>
      </c>
      <c r="D21" s="57" t="str">
        <f t="shared" si="1"/>
        <v>Extra Small</v>
      </c>
      <c r="E21" s="163">
        <v>8.7322852438906279E-2</v>
      </c>
      <c r="F21" s="163">
        <v>0.155</v>
      </c>
      <c r="G21" s="163">
        <v>6.4259827153610255E-2</v>
      </c>
      <c r="H21" s="166">
        <v>0.2475177304964539</v>
      </c>
      <c r="I21" s="36">
        <v>1</v>
      </c>
      <c r="J21" s="163">
        <v>0.10853964836742017</v>
      </c>
      <c r="K21" s="163">
        <v>1.3379872018615475E-2</v>
      </c>
      <c r="L21" s="85">
        <v>0</v>
      </c>
      <c r="M21" s="80" t="s">
        <v>4</v>
      </c>
      <c r="N21" s="80"/>
      <c r="O21" s="80"/>
      <c r="P21" s="81"/>
      <c r="Q21" s="7"/>
      <c r="T21" s="209"/>
      <c r="U21" s="209"/>
    </row>
    <row r="22" spans="2:21" x14ac:dyDescent="0.25">
      <c r="B22" s="18" t="s">
        <v>60</v>
      </c>
      <c r="C22" s="160">
        <v>7537</v>
      </c>
      <c r="D22" s="57" t="str">
        <f t="shared" si="1"/>
        <v>Extra Small</v>
      </c>
      <c r="E22" s="163">
        <v>8.9063024057078388E-2</v>
      </c>
      <c r="F22" s="163">
        <v>0.122</v>
      </c>
      <c r="G22" s="163">
        <v>9.2886456908344739E-2</v>
      </c>
      <c r="H22" s="166">
        <v>0.21750737670366727</v>
      </c>
      <c r="I22" s="36">
        <v>0.443</v>
      </c>
      <c r="J22" s="163">
        <v>8.4425308873081237E-2</v>
      </c>
      <c r="K22" s="163">
        <v>9.229881742140178E-3</v>
      </c>
      <c r="L22" s="85">
        <v>172270</v>
      </c>
      <c r="M22" s="80" t="s">
        <v>4</v>
      </c>
      <c r="N22" s="80"/>
      <c r="O22" s="80"/>
      <c r="P22" s="81"/>
      <c r="Q22" s="7"/>
      <c r="T22" s="209"/>
      <c r="U22" s="209"/>
    </row>
    <row r="23" spans="2:21" x14ac:dyDescent="0.25">
      <c r="B23" s="18" t="s">
        <v>61</v>
      </c>
      <c r="C23" s="160">
        <v>23888</v>
      </c>
      <c r="D23" s="57" t="str">
        <f t="shared" si="1"/>
        <v>Small</v>
      </c>
      <c r="E23" s="163">
        <v>4.5889768989028357E-2</v>
      </c>
      <c r="F23" s="163">
        <v>0.16399999999999998</v>
      </c>
      <c r="G23" s="163">
        <v>0.15251396648044693</v>
      </c>
      <c r="H23" s="166">
        <v>0.14910114793155729</v>
      </c>
      <c r="I23" s="36">
        <v>0.52200000000000002</v>
      </c>
      <c r="J23" s="163">
        <v>0.17509433962264151</v>
      </c>
      <c r="K23" s="163">
        <v>0.14958753437213565</v>
      </c>
      <c r="L23" s="85">
        <v>729676</v>
      </c>
      <c r="M23" s="80" t="s">
        <v>4</v>
      </c>
      <c r="N23" s="80"/>
      <c r="O23" s="80"/>
      <c r="P23" s="81"/>
      <c r="Q23" s="7"/>
      <c r="T23" s="209"/>
      <c r="U23" s="209"/>
    </row>
    <row r="24" spans="2:21" x14ac:dyDescent="0.25">
      <c r="B24" s="18" t="s">
        <v>62</v>
      </c>
      <c r="C24" s="160">
        <v>223827</v>
      </c>
      <c r="D24" s="57" t="str">
        <f t="shared" si="1"/>
        <v>Large</v>
      </c>
      <c r="E24" s="163">
        <v>7.4653579908639106E-2</v>
      </c>
      <c r="F24" s="163">
        <v>0.184</v>
      </c>
      <c r="G24" s="163">
        <v>9.7956403892476951E-2</v>
      </c>
      <c r="H24" s="166">
        <v>0.23906604501578002</v>
      </c>
      <c r="I24" s="36">
        <v>0.20100000000000001</v>
      </c>
      <c r="J24" s="163">
        <v>9.5721057487354058E-2</v>
      </c>
      <c r="K24" s="163">
        <v>3.0863571128281701E-2</v>
      </c>
      <c r="L24" s="85">
        <v>2298330</v>
      </c>
      <c r="M24" s="80" t="s">
        <v>4</v>
      </c>
      <c r="N24" s="80"/>
      <c r="O24" s="80"/>
      <c r="P24" s="81"/>
      <c r="Q24" s="7"/>
      <c r="T24" s="209"/>
      <c r="U24" s="209"/>
    </row>
    <row r="25" spans="2:21" x14ac:dyDescent="0.25">
      <c r="B25" s="18" t="s">
        <v>63</v>
      </c>
      <c r="C25" s="160">
        <v>24889</v>
      </c>
      <c r="D25" s="57" t="str">
        <f t="shared" si="1"/>
        <v>Small</v>
      </c>
      <c r="E25" s="163">
        <v>9.9014703108580251E-2</v>
      </c>
      <c r="F25" s="163">
        <v>0.13699999999999998</v>
      </c>
      <c r="G25" s="163">
        <v>0.30663672654690621</v>
      </c>
      <c r="H25" s="166">
        <v>0.24980198891137903</v>
      </c>
      <c r="I25" s="36">
        <v>0.63100000000000001</v>
      </c>
      <c r="J25" s="163">
        <v>0.1169731685257763</v>
      </c>
      <c r="K25" s="163">
        <v>5.0597485673670652E-2</v>
      </c>
      <c r="L25" s="85">
        <v>261557</v>
      </c>
      <c r="M25" s="80" t="s">
        <v>4</v>
      </c>
      <c r="N25" s="80"/>
      <c r="O25" s="80"/>
      <c r="P25" s="81"/>
      <c r="Q25" s="7"/>
      <c r="T25" s="209"/>
      <c r="U25" s="209"/>
    </row>
    <row r="26" spans="2:21" x14ac:dyDescent="0.25">
      <c r="B26" s="18" t="s">
        <v>64</v>
      </c>
      <c r="C26" s="160">
        <v>88728</v>
      </c>
      <c r="D26" s="57" t="str">
        <f t="shared" si="1"/>
        <v>Medium</v>
      </c>
      <c r="E26" s="163">
        <v>9.8660431157608169E-2</v>
      </c>
      <c r="F26" s="163">
        <v>0.218</v>
      </c>
      <c r="G26" s="163">
        <v>8.6949033835838199E-2</v>
      </c>
      <c r="H26" s="166">
        <v>0.31156318165381608</v>
      </c>
      <c r="I26" s="36">
        <v>0.45</v>
      </c>
      <c r="J26" s="163">
        <v>9.1855972801730801E-2</v>
      </c>
      <c r="K26" s="163">
        <v>1.4025685592893009E-2</v>
      </c>
      <c r="L26" s="85">
        <v>657998</v>
      </c>
      <c r="M26" s="80" t="s">
        <v>4</v>
      </c>
      <c r="N26" s="80"/>
      <c r="O26" s="80"/>
      <c r="P26" s="81"/>
      <c r="Q26" s="7"/>
      <c r="T26" s="209"/>
      <c r="U26" s="209"/>
    </row>
    <row r="27" spans="2:21" x14ac:dyDescent="0.25">
      <c r="B27" s="18" t="s">
        <v>65</v>
      </c>
      <c r="C27" s="160">
        <v>69822</v>
      </c>
      <c r="D27" s="57" t="str">
        <f t="shared" si="1"/>
        <v>Small</v>
      </c>
      <c r="E27" s="163">
        <v>0.10338869960707459</v>
      </c>
      <c r="F27" s="163">
        <v>0.17399999999999999</v>
      </c>
      <c r="G27" s="163">
        <v>0.15423187291068841</v>
      </c>
      <c r="H27" s="166">
        <v>0.31251127548259067</v>
      </c>
      <c r="I27" s="36">
        <v>0.376</v>
      </c>
      <c r="J27" s="163">
        <v>0.12322683840552258</v>
      </c>
      <c r="K27" s="163">
        <v>3.3687720181177654E-2</v>
      </c>
      <c r="L27" s="85">
        <v>542426</v>
      </c>
      <c r="M27" s="80" t="s">
        <v>4</v>
      </c>
      <c r="N27" s="80"/>
      <c r="O27" s="80"/>
      <c r="P27" s="81"/>
      <c r="Q27" s="7"/>
      <c r="T27" s="209"/>
      <c r="U27" s="209"/>
    </row>
    <row r="28" spans="2:21" x14ac:dyDescent="0.25">
      <c r="B28" s="18" t="s">
        <v>66</v>
      </c>
      <c r="C28" s="160">
        <v>8177</v>
      </c>
      <c r="D28" s="57" t="str">
        <f t="shared" si="1"/>
        <v>Extra Small</v>
      </c>
      <c r="E28" s="163">
        <v>9.4658686691886401E-2</v>
      </c>
      <c r="F28" s="163">
        <v>0.17899999999999999</v>
      </c>
      <c r="G28" s="163">
        <v>8.1560283687943269E-2</v>
      </c>
      <c r="H28" s="166">
        <v>0.29834631679650131</v>
      </c>
      <c r="I28" s="36">
        <v>0.63300000000000001</v>
      </c>
      <c r="J28" s="163">
        <v>0.12086258776328987</v>
      </c>
      <c r="K28" s="163">
        <v>2.7295614151318405E-2</v>
      </c>
      <c r="L28" s="85">
        <v>187877</v>
      </c>
      <c r="M28" s="80" t="s">
        <v>4</v>
      </c>
      <c r="N28" s="80"/>
      <c r="O28" s="80"/>
      <c r="P28" s="81"/>
      <c r="Q28" s="7"/>
      <c r="T28" s="209"/>
      <c r="U28" s="209"/>
    </row>
    <row r="29" spans="2:21" x14ac:dyDescent="0.25">
      <c r="B29" s="18" t="s">
        <v>67</v>
      </c>
      <c r="C29" s="160">
        <v>382647</v>
      </c>
      <c r="D29" s="57" t="str">
        <f t="shared" si="1"/>
        <v>Extra Large</v>
      </c>
      <c r="E29" s="163">
        <v>6.9776981788889539E-2</v>
      </c>
      <c r="F29" s="163">
        <v>0.16600000000000001</v>
      </c>
      <c r="G29" s="163">
        <v>0.14291765166817119</v>
      </c>
      <c r="H29" s="166">
        <v>0.2651164800968146</v>
      </c>
      <c r="I29" s="36">
        <v>0.17499999999999999</v>
      </c>
      <c r="J29" s="163">
        <v>7.5164326090457964E-2</v>
      </c>
      <c r="K29" s="163">
        <v>2.1949998609527517E-2</v>
      </c>
      <c r="L29" s="85">
        <v>4024080</v>
      </c>
      <c r="M29" s="80" t="s">
        <v>4</v>
      </c>
      <c r="N29" s="80"/>
      <c r="O29" s="80"/>
      <c r="P29" s="81"/>
      <c r="Q29" s="7"/>
      <c r="T29" s="209"/>
      <c r="U29" s="209"/>
    </row>
    <row r="30" spans="2:21" x14ac:dyDescent="0.25">
      <c r="B30" s="18" t="s">
        <v>68</v>
      </c>
      <c r="C30" s="160">
        <v>50903</v>
      </c>
      <c r="D30" s="57" t="str">
        <f t="shared" si="1"/>
        <v>Small</v>
      </c>
      <c r="E30" s="163">
        <v>9.6459537572254339E-2</v>
      </c>
      <c r="F30" s="163">
        <v>0.21299999999999999</v>
      </c>
      <c r="G30" s="163">
        <v>0.12879033565753203</v>
      </c>
      <c r="H30" s="166">
        <v>0.25276237420414871</v>
      </c>
      <c r="I30" s="36">
        <v>0.376</v>
      </c>
      <c r="J30" s="163">
        <v>7.749783708675248E-2</v>
      </c>
      <c r="K30" s="163">
        <v>2.0278726428101732E-2</v>
      </c>
      <c r="L30" s="85">
        <v>1458472</v>
      </c>
      <c r="M30" s="80" t="s">
        <v>4</v>
      </c>
      <c r="N30" s="80"/>
      <c r="O30" s="80"/>
      <c r="P30" s="81"/>
      <c r="Q30" s="7"/>
      <c r="T30" s="209"/>
      <c r="U30" s="209"/>
    </row>
    <row r="31" spans="2:21" x14ac:dyDescent="0.25">
      <c r="B31" s="18" t="s">
        <v>69</v>
      </c>
      <c r="C31" s="160">
        <v>130440</v>
      </c>
      <c r="D31" s="57" t="str">
        <f t="shared" si="1"/>
        <v>Medium</v>
      </c>
      <c r="E31" s="163">
        <v>7.6651250070114071E-2</v>
      </c>
      <c r="F31" s="163">
        <v>0.18100000000000002</v>
      </c>
      <c r="G31" s="163">
        <v>0.11191988429128412</v>
      </c>
      <c r="H31" s="166">
        <v>0.22572959142879986</v>
      </c>
      <c r="I31" s="36">
        <v>0.316</v>
      </c>
      <c r="J31" s="163">
        <v>0.10149620870193175</v>
      </c>
      <c r="K31" s="163">
        <v>2.7944595928336039E-2</v>
      </c>
      <c r="L31" s="85">
        <v>1327242</v>
      </c>
      <c r="M31" s="80" t="s">
        <v>4</v>
      </c>
      <c r="N31" s="80"/>
      <c r="O31" s="80"/>
      <c r="P31" s="81"/>
      <c r="Q31" s="7"/>
      <c r="T31" s="209"/>
      <c r="U31" s="209"/>
    </row>
    <row r="32" spans="2:21" x14ac:dyDescent="0.25">
      <c r="B32" s="18" t="s">
        <v>70</v>
      </c>
      <c r="C32" s="160">
        <v>31995</v>
      </c>
      <c r="D32" s="57" t="str">
        <f t="shared" si="1"/>
        <v>Small</v>
      </c>
      <c r="E32" s="163">
        <v>7.9387883013260663E-2</v>
      </c>
      <c r="F32" s="163">
        <v>0.27100000000000002</v>
      </c>
      <c r="G32" s="163">
        <v>0.13397753982763125</v>
      </c>
      <c r="H32" s="166">
        <v>0.34839166573483915</v>
      </c>
      <c r="I32" s="36">
        <v>0.48399999999999999</v>
      </c>
      <c r="J32" s="163">
        <v>0.18730650154798761</v>
      </c>
      <c r="K32" s="163">
        <v>7.1331069966049487E-2</v>
      </c>
      <c r="L32" s="85">
        <v>474185</v>
      </c>
      <c r="M32" s="80" t="s">
        <v>4</v>
      </c>
      <c r="N32" s="80"/>
      <c r="O32" s="80"/>
      <c r="P32" s="81"/>
      <c r="Q32" s="7"/>
      <c r="T32" s="209"/>
      <c r="U32" s="209"/>
    </row>
    <row r="33" spans="2:21" x14ac:dyDescent="0.25">
      <c r="B33" s="18" t="s">
        <v>71</v>
      </c>
      <c r="C33" s="160">
        <v>347182</v>
      </c>
      <c r="D33" s="57" t="str">
        <f t="shared" si="1"/>
        <v>Large</v>
      </c>
      <c r="E33" s="163">
        <v>6.4481630638007895E-2</v>
      </c>
      <c r="F33" s="163">
        <v>0.192</v>
      </c>
      <c r="G33" s="163">
        <v>0.21668286098294651</v>
      </c>
      <c r="H33" s="166">
        <v>0.24804193168151548</v>
      </c>
      <c r="I33" s="36">
        <v>0.13100000000000001</v>
      </c>
      <c r="J33" s="163">
        <v>0.14771333758213745</v>
      </c>
      <c r="K33" s="163">
        <v>9.9453636972121479E-2</v>
      </c>
      <c r="L33" s="85">
        <v>4647307</v>
      </c>
      <c r="M33" s="80" t="s">
        <v>4</v>
      </c>
      <c r="N33" s="80"/>
      <c r="O33" s="80"/>
      <c r="P33" s="81"/>
      <c r="Q33" s="7"/>
      <c r="T33" s="209"/>
      <c r="U33" s="209"/>
    </row>
    <row r="34" spans="2:21" x14ac:dyDescent="0.25">
      <c r="B34" s="18" t="s">
        <v>72</v>
      </c>
      <c r="C34" s="160">
        <v>12635</v>
      </c>
      <c r="D34" s="57" t="str">
        <f t="shared" si="1"/>
        <v>Extra Small</v>
      </c>
      <c r="E34" s="163">
        <v>6.6695320675736289E-2</v>
      </c>
      <c r="F34" s="163">
        <v>0.312</v>
      </c>
      <c r="G34" s="163">
        <v>0.16428884026258206</v>
      </c>
      <c r="H34" s="166">
        <v>0.32466619817287423</v>
      </c>
      <c r="I34" s="36">
        <v>0.45900000000000002</v>
      </c>
      <c r="J34" s="163">
        <v>0.21884961884961884</v>
      </c>
      <c r="K34" s="163">
        <v>0.13211823590518462</v>
      </c>
      <c r="L34" s="85">
        <v>712823</v>
      </c>
      <c r="M34" s="80" t="s">
        <v>4</v>
      </c>
      <c r="N34" s="80"/>
      <c r="O34" s="80"/>
      <c r="P34" s="81"/>
      <c r="Q34" s="7"/>
      <c r="T34" s="209"/>
      <c r="U34" s="209"/>
    </row>
    <row r="35" spans="2:21" hidden="1" x14ac:dyDescent="0.25">
      <c r="B35" s="18" t="s">
        <v>73</v>
      </c>
      <c r="C35" s="160">
        <v>0</v>
      </c>
      <c r="D35" s="57" t="str">
        <f t="shared" si="1"/>
        <v>Extra Small</v>
      </c>
      <c r="E35" s="163">
        <v>6.370371101635075E-2</v>
      </c>
      <c r="F35" s="163">
        <v>0.161</v>
      </c>
      <c r="G35" s="163">
        <v>0.23949552335007265</v>
      </c>
      <c r="H35" s="166">
        <v>0.20682215919377225</v>
      </c>
      <c r="I35" s="36">
        <v>1.2999999999999999E-2</v>
      </c>
      <c r="J35" s="163">
        <v>8.0253886289064602E-2</v>
      </c>
      <c r="K35" s="163">
        <v>7.8249997392492471E-2</v>
      </c>
      <c r="L35" s="85">
        <v>25329190</v>
      </c>
      <c r="M35" s="80" t="s">
        <v>4</v>
      </c>
      <c r="N35" s="80"/>
      <c r="O35" s="80"/>
      <c r="P35" s="81"/>
      <c r="Q35" s="7"/>
      <c r="T35" s="209"/>
      <c r="U35" s="209"/>
    </row>
    <row r="36" spans="2:21" x14ac:dyDescent="0.25">
      <c r="B36" s="48" t="s">
        <v>142</v>
      </c>
      <c r="C36" s="54">
        <v>28489</v>
      </c>
      <c r="D36" s="54" t="str">
        <f t="shared" si="1"/>
        <v>Small</v>
      </c>
      <c r="E36" s="55">
        <v>8.1349469884601261E-2</v>
      </c>
      <c r="F36" s="55">
        <v>0.13800000000000001</v>
      </c>
      <c r="G36" s="55">
        <v>0.11924177396280401</v>
      </c>
      <c r="H36" s="184">
        <v>0.21912466746838671</v>
      </c>
      <c r="I36" s="55">
        <v>0.41499999999999998</v>
      </c>
      <c r="J36" s="55">
        <v>0.12254876992818214</v>
      </c>
      <c r="K36" s="55">
        <v>5.8275324280117162E-2</v>
      </c>
      <c r="L36" s="199">
        <v>772441</v>
      </c>
      <c r="M36" s="197" t="s">
        <v>4</v>
      </c>
      <c r="N36" s="197"/>
      <c r="O36" s="197"/>
      <c r="P36" s="198"/>
      <c r="Q36" s="7"/>
    </row>
    <row r="37" spans="2:21" x14ac:dyDescent="0.25">
      <c r="B37" s="18" t="s">
        <v>74</v>
      </c>
      <c r="C37" s="160">
        <v>88916</v>
      </c>
      <c r="D37" s="57" t="str">
        <f t="shared" si="1"/>
        <v>Medium</v>
      </c>
      <c r="E37" s="163">
        <v>6.0001019991840064E-2</v>
      </c>
      <c r="F37" s="163">
        <v>0.183</v>
      </c>
      <c r="G37" s="163">
        <v>0.13525315708721822</v>
      </c>
      <c r="H37" s="166">
        <v>0.19208848122557146</v>
      </c>
      <c r="I37" s="36">
        <v>0.19900000000000001</v>
      </c>
      <c r="J37" s="163">
        <v>8.4519197223701367E-2</v>
      </c>
      <c r="K37" s="163">
        <v>4.0397342708085725E-2</v>
      </c>
      <c r="L37" s="85">
        <v>291010</v>
      </c>
      <c r="M37" s="80" t="s">
        <v>4</v>
      </c>
      <c r="N37" s="80"/>
      <c r="O37" s="80"/>
      <c r="P37" s="81"/>
      <c r="Q37" s="7"/>
      <c r="T37" s="209"/>
      <c r="U37" s="209"/>
    </row>
    <row r="38" spans="2:21" x14ac:dyDescent="0.25">
      <c r="B38" s="27" t="s">
        <v>90</v>
      </c>
      <c r="C38" s="54">
        <v>1908</v>
      </c>
      <c r="D38" s="54" t="str">
        <f t="shared" si="1"/>
        <v>Extra Small</v>
      </c>
      <c r="E38" s="55">
        <v>8.765512736773351E-2</v>
      </c>
      <c r="F38" s="55"/>
      <c r="G38" s="55">
        <v>9.7864768683274025E-2</v>
      </c>
      <c r="H38" s="184">
        <v>0.20035671819262782</v>
      </c>
      <c r="I38" s="55"/>
      <c r="J38" s="55">
        <v>0.10569105691056911</v>
      </c>
      <c r="K38" s="55">
        <v>3.0921459492888066E-3</v>
      </c>
      <c r="L38" s="199"/>
      <c r="M38" s="197"/>
      <c r="N38" s="197"/>
      <c r="O38" s="197"/>
      <c r="P38" s="198"/>
      <c r="Q38" s="7"/>
      <c r="T38" s="209"/>
      <c r="U38" s="209"/>
    </row>
    <row r="39" spans="2:21" x14ac:dyDescent="0.25">
      <c r="B39" s="18" t="s">
        <v>75</v>
      </c>
      <c r="C39" s="160">
        <v>27628</v>
      </c>
      <c r="D39" s="57" t="str">
        <f t="shared" si="1"/>
        <v>Small</v>
      </c>
      <c r="E39" s="163">
        <v>8.3063155457041724E-2</v>
      </c>
      <c r="F39" s="163">
        <v>0.16899999999999998</v>
      </c>
      <c r="G39" s="163">
        <v>8.8529609439175566E-2</v>
      </c>
      <c r="H39" s="166">
        <v>0.19578624784524037</v>
      </c>
      <c r="I39" s="36">
        <v>0.69599999999999995</v>
      </c>
      <c r="J39" s="163">
        <v>9.701343952215033E-2</v>
      </c>
      <c r="K39" s="163">
        <v>4.0800375175863685E-2</v>
      </c>
      <c r="L39" s="85">
        <v>119798</v>
      </c>
      <c r="M39" s="80" t="s">
        <v>4</v>
      </c>
      <c r="N39" s="80"/>
      <c r="O39" s="80"/>
      <c r="P39" s="81"/>
      <c r="Q39" s="7"/>
      <c r="T39" s="209"/>
      <c r="U39" s="209"/>
    </row>
    <row r="40" spans="2:21" x14ac:dyDescent="0.25">
      <c r="B40" s="18" t="s">
        <v>76</v>
      </c>
      <c r="C40" s="160">
        <v>80463</v>
      </c>
      <c r="D40" s="57" t="str">
        <f t="shared" si="1"/>
        <v>Medium</v>
      </c>
      <c r="E40" s="163">
        <v>7.7759060872355318E-2</v>
      </c>
      <c r="F40" s="163">
        <v>0.184</v>
      </c>
      <c r="G40" s="163">
        <v>0.17466599412822204</v>
      </c>
      <c r="H40" s="166">
        <v>0.25478740222426899</v>
      </c>
      <c r="I40" s="36">
        <v>0.29099999999999998</v>
      </c>
      <c r="J40" s="163">
        <v>0.17000491400491399</v>
      </c>
      <c r="K40" s="163">
        <v>8.7432299530425389E-2</v>
      </c>
      <c r="L40" s="85">
        <v>532317</v>
      </c>
      <c r="M40" s="80" t="s">
        <v>4</v>
      </c>
      <c r="N40" s="80"/>
      <c r="O40" s="80"/>
      <c r="P40" s="81"/>
      <c r="Q40" s="7"/>
      <c r="T40" s="209"/>
      <c r="U40" s="209"/>
    </row>
    <row r="41" spans="2:21" x14ac:dyDescent="0.25">
      <c r="B41" s="18" t="s">
        <v>77</v>
      </c>
      <c r="C41" s="160">
        <v>26295</v>
      </c>
      <c r="D41" s="57" t="str">
        <f t="shared" si="1"/>
        <v>Small</v>
      </c>
      <c r="E41" s="163">
        <v>8.0908592958985504E-2</v>
      </c>
      <c r="F41" s="163">
        <v>0.106</v>
      </c>
      <c r="G41" s="163">
        <v>8.2597539808316356E-2</v>
      </c>
      <c r="H41" s="166">
        <v>0.25401567471094899</v>
      </c>
      <c r="I41" s="36">
        <v>0.42099999999999999</v>
      </c>
      <c r="J41" s="163">
        <v>7.141241660070112E-2</v>
      </c>
      <c r="K41" s="163">
        <v>1.2077584483103379E-2</v>
      </c>
      <c r="L41" s="85">
        <v>153290</v>
      </c>
      <c r="M41" s="80" t="s">
        <v>4</v>
      </c>
      <c r="N41" s="80"/>
      <c r="O41" s="80"/>
      <c r="P41" s="81"/>
      <c r="Q41" s="7"/>
      <c r="T41" s="209"/>
      <c r="U41" s="209"/>
    </row>
    <row r="42" spans="2:21" x14ac:dyDescent="0.25">
      <c r="B42" s="18" t="s">
        <v>78</v>
      </c>
      <c r="C42" s="160">
        <v>7433</v>
      </c>
      <c r="D42" s="57" t="str">
        <f t="shared" si="1"/>
        <v>Extra Small</v>
      </c>
      <c r="E42" s="163">
        <v>5.901039661147478E-2</v>
      </c>
      <c r="F42" s="163">
        <v>0.14899999999999999</v>
      </c>
      <c r="G42" s="163">
        <v>6.2561924982307143E-2</v>
      </c>
      <c r="H42" s="166">
        <v>0.17978173463526709</v>
      </c>
      <c r="I42" s="36">
        <v>1</v>
      </c>
      <c r="J42" s="163">
        <v>5.7384587088467907E-2</v>
      </c>
      <c r="K42" s="163">
        <v>8.3432657926102508E-3</v>
      </c>
      <c r="L42" s="85">
        <v>0</v>
      </c>
      <c r="M42" s="80" t="s">
        <v>4</v>
      </c>
      <c r="N42" s="80"/>
      <c r="O42" s="80"/>
      <c r="P42" s="81"/>
      <c r="Q42" s="7"/>
      <c r="T42" s="209"/>
      <c r="U42" s="209"/>
    </row>
    <row r="43" spans="2:21" x14ac:dyDescent="0.25">
      <c r="B43" s="27" t="s">
        <v>91</v>
      </c>
      <c r="C43" s="54">
        <v>26581</v>
      </c>
      <c r="D43" s="54" t="str">
        <f t="shared" si="1"/>
        <v>Small</v>
      </c>
      <c r="E43" s="55">
        <v>8.0948344635021943E-2</v>
      </c>
      <c r="F43" s="55"/>
      <c r="G43" s="55">
        <v>0.12061353429245641</v>
      </c>
      <c r="H43" s="184">
        <v>0.22035016887301526</v>
      </c>
      <c r="I43" s="55"/>
      <c r="J43" s="55">
        <v>0.1236754876922241</v>
      </c>
      <c r="K43" s="55">
        <v>6.1892023346303504E-2</v>
      </c>
      <c r="L43" s="199"/>
      <c r="M43" s="197"/>
      <c r="N43" s="197"/>
      <c r="O43" s="197"/>
      <c r="P43" s="198"/>
      <c r="Q43" s="7"/>
      <c r="T43" s="209"/>
      <c r="U43" s="209"/>
    </row>
    <row r="44" spans="2:21" x14ac:dyDescent="0.25">
      <c r="B44" s="18" t="s">
        <v>79</v>
      </c>
      <c r="C44" s="160">
        <v>605036</v>
      </c>
      <c r="D44" s="57" t="str">
        <f t="shared" si="1"/>
        <v>Extra Large</v>
      </c>
      <c r="E44" s="163">
        <v>4.3166723992758137E-2</v>
      </c>
      <c r="F44" s="163">
        <v>0.151</v>
      </c>
      <c r="G44" s="163">
        <v>0.26459939472372312</v>
      </c>
      <c r="H44" s="166">
        <v>0.14036051059906585</v>
      </c>
      <c r="I44" s="36">
        <v>5.6000000000000001E-2</v>
      </c>
      <c r="J44" s="163">
        <v>7.3872716790846005E-2</v>
      </c>
      <c r="K44" s="163">
        <v>8.6434537407195894E-2</v>
      </c>
      <c r="L44" s="85">
        <v>8674852</v>
      </c>
      <c r="M44" s="80" t="s">
        <v>4</v>
      </c>
      <c r="N44" s="80"/>
      <c r="O44" s="80"/>
      <c r="P44" s="81"/>
      <c r="Q44" s="7"/>
      <c r="T44" s="209"/>
      <c r="U44" s="209"/>
    </row>
    <row r="45" spans="2:21" x14ac:dyDescent="0.25">
      <c r="B45" s="18" t="s">
        <v>80</v>
      </c>
      <c r="C45" s="160">
        <v>1456</v>
      </c>
      <c r="D45" s="57" t="str">
        <f t="shared" si="1"/>
        <v>Extra Small</v>
      </c>
      <c r="E45" s="163">
        <v>4.9376114081996436E-2</v>
      </c>
      <c r="F45" s="163">
        <v>0.33399999999999996</v>
      </c>
      <c r="G45" s="163">
        <v>9.1037402964008474E-2</v>
      </c>
      <c r="H45" s="166">
        <v>0.27734095782701929</v>
      </c>
      <c r="I45" s="36">
        <v>1</v>
      </c>
      <c r="J45" s="163">
        <v>6.6968325791855202E-2</v>
      </c>
      <c r="K45" s="163">
        <v>1.4626635873749037E-2</v>
      </c>
      <c r="L45" s="85">
        <v>6791</v>
      </c>
      <c r="M45" s="80" t="s">
        <v>4</v>
      </c>
      <c r="N45" s="80"/>
      <c r="O45" s="80"/>
      <c r="P45" s="81"/>
      <c r="Q45" s="7"/>
      <c r="T45" s="209"/>
      <c r="U45" s="209"/>
    </row>
    <row r="46" spans="2:21" x14ac:dyDescent="0.25">
      <c r="B46" s="19" t="s">
        <v>81</v>
      </c>
      <c r="C46" s="161">
        <v>108261</v>
      </c>
      <c r="D46" s="58" t="str">
        <f t="shared" si="1"/>
        <v>Medium</v>
      </c>
      <c r="E46" s="164">
        <v>6.1550429794770968E-2</v>
      </c>
      <c r="F46" s="164">
        <v>0.184</v>
      </c>
      <c r="G46" s="164">
        <v>0.13757576328862162</v>
      </c>
      <c r="H46" s="167">
        <v>0.18686853664098674</v>
      </c>
      <c r="I46" s="37">
        <v>0.22600000000000001</v>
      </c>
      <c r="J46" s="164">
        <v>0.10362340072272683</v>
      </c>
      <c r="K46" s="164">
        <v>5.4052435653050429E-2</v>
      </c>
      <c r="L46" s="86">
        <v>1553242</v>
      </c>
      <c r="M46" s="82" t="s">
        <v>4</v>
      </c>
      <c r="N46" s="82"/>
      <c r="O46" s="82"/>
      <c r="P46" s="83"/>
      <c r="Q46" s="7"/>
      <c r="T46" s="209"/>
      <c r="U46" s="209"/>
    </row>
    <row r="47" spans="2:21" ht="15.75" thickBot="1" x14ac:dyDescent="0.3">
      <c r="C47" s="16">
        <f>SUM(C10:C46)-C36</f>
        <v>3445888</v>
      </c>
      <c r="D47" s="51"/>
    </row>
    <row r="48" spans="2:21" ht="15.75" thickTop="1" x14ac:dyDescent="0.25"/>
    <row r="49" spans="11:11" x14ac:dyDescent="0.25">
      <c r="K49" s="38"/>
    </row>
    <row r="50" spans="11:11" x14ac:dyDescent="0.25">
      <c r="K50" s="38"/>
    </row>
    <row r="51" spans="11:11" x14ac:dyDescent="0.25">
      <c r="K51" s="38"/>
    </row>
    <row r="52" spans="11:11" x14ac:dyDescent="0.25">
      <c r="K52" s="38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1"/>
  <sheetViews>
    <sheetView topLeftCell="A7"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customWidth="1"/>
    <col min="5" max="5" width="14.140625" customWidth="1"/>
    <col min="6" max="6" width="10" bestFit="1" customWidth="1"/>
    <col min="7" max="7" width="13.5703125" bestFit="1" customWidth="1"/>
  </cols>
  <sheetData>
    <row r="3" spans="2:6" x14ac:dyDescent="0.25">
      <c r="B3" t="s">
        <v>0</v>
      </c>
      <c r="C3" s="1">
        <f>'County Data'!C5</f>
        <v>14500000</v>
      </c>
    </row>
    <row r="4" spans="2:6" x14ac:dyDescent="0.25">
      <c r="B4" t="s">
        <v>41</v>
      </c>
      <c r="C4" s="14">
        <f>'County Data'!C9</f>
        <v>0</v>
      </c>
    </row>
    <row r="6" spans="2:6" s="2" customFormat="1" ht="30" x14ac:dyDescent="0.25">
      <c r="B6" s="3" t="s">
        <v>7</v>
      </c>
      <c r="C6" s="3" t="s">
        <v>1</v>
      </c>
      <c r="D6" s="3" t="s">
        <v>3</v>
      </c>
      <c r="E6" s="13" t="s">
        <v>13</v>
      </c>
      <c r="F6" s="3" t="s">
        <v>6</v>
      </c>
    </row>
    <row r="7" spans="2:6" x14ac:dyDescent="0.25">
      <c r="B7" s="20" t="str">
        <f>+'County Data'!$B$10</f>
        <v>Baker</v>
      </c>
      <c r="C7" s="15">
        <f>VLOOKUP($B7,'County Data'!$B$10:$P$46,2,FALSE)</f>
        <v>16860</v>
      </c>
      <c r="D7" s="6">
        <f t="shared" ref="D7:D40" si="0">C7/$C$41</f>
        <v>4.8956850314865723E-3</v>
      </c>
      <c r="E7" s="14">
        <f t="shared" ref="E7:E40" si="1">$C$4*D7</f>
        <v>0</v>
      </c>
      <c r="F7" s="10">
        <f t="shared" ref="F7:F40" si="2">E7/C7</f>
        <v>0</v>
      </c>
    </row>
    <row r="8" spans="2:6" x14ac:dyDescent="0.25">
      <c r="B8" s="20" t="str">
        <f>+'County Data'!$B$19</f>
        <v>Douglas</v>
      </c>
      <c r="C8" s="15">
        <f>VLOOKUP($B8,'County Data'!$B$10:$P$46,2,FALSE)</f>
        <v>111694</v>
      </c>
      <c r="D8" s="6">
        <f t="shared" si="0"/>
        <v>3.2432897028876702E-2</v>
      </c>
      <c r="E8" s="14">
        <f t="shared" si="1"/>
        <v>0</v>
      </c>
      <c r="F8" s="10">
        <f t="shared" si="2"/>
        <v>0</v>
      </c>
    </row>
    <row r="9" spans="2:6" x14ac:dyDescent="0.25">
      <c r="B9" s="20" t="str">
        <f>+'County Data'!$B$23</f>
        <v>Hood River</v>
      </c>
      <c r="C9" s="15">
        <f>VLOOKUP($B9,'County Data'!$B$10:$P$46,2,FALSE)</f>
        <v>23888</v>
      </c>
      <c r="D9" s="6">
        <f t="shared" si="0"/>
        <v>6.9364249129389823E-3</v>
      </c>
      <c r="E9" s="14">
        <f t="shared" si="1"/>
        <v>0</v>
      </c>
      <c r="F9" s="10">
        <f t="shared" si="2"/>
        <v>0</v>
      </c>
    </row>
    <row r="10" spans="2:6" x14ac:dyDescent="0.25">
      <c r="B10" s="20" t="str">
        <f>+'County Data'!$B$24</f>
        <v>Jackson</v>
      </c>
      <c r="C10" s="15">
        <f>VLOOKUP($B10,'County Data'!$B$10:$P$46,2,FALSE)</f>
        <v>223827</v>
      </c>
      <c r="D10" s="6">
        <f t="shared" si="0"/>
        <v>6.4993267707149763E-2</v>
      </c>
      <c r="E10" s="14">
        <f t="shared" si="1"/>
        <v>0</v>
      </c>
      <c r="F10" s="10">
        <f t="shared" si="2"/>
        <v>0</v>
      </c>
    </row>
    <row r="11" spans="2:6" x14ac:dyDescent="0.25">
      <c r="B11" s="20" t="str">
        <f>+'County Data'!$B$25</f>
        <v>Jefferson</v>
      </c>
      <c r="C11" s="15">
        <f>VLOOKUP($B11,'County Data'!$B$10:$P$46,2,FALSE)</f>
        <v>24889</v>
      </c>
      <c r="D11" s="6">
        <f t="shared" si="0"/>
        <v>7.2270880633848933E-3</v>
      </c>
      <c r="E11" s="14">
        <f t="shared" si="1"/>
        <v>0</v>
      </c>
      <c r="F11" s="10">
        <f t="shared" si="2"/>
        <v>0</v>
      </c>
    </row>
    <row r="12" spans="2:6" x14ac:dyDescent="0.25">
      <c r="B12" s="20" t="str">
        <f>+'County Data'!$B$26</f>
        <v>Josephine</v>
      </c>
      <c r="C12" s="15">
        <f>VLOOKUP($B12,'County Data'!$B$10:$P$46,2,FALSE)</f>
        <v>88728</v>
      </c>
      <c r="D12" s="6">
        <f t="shared" si="0"/>
        <v>2.5764195816947839E-2</v>
      </c>
      <c r="E12" s="14">
        <f t="shared" si="1"/>
        <v>0</v>
      </c>
      <c r="F12" s="10">
        <f t="shared" si="2"/>
        <v>0</v>
      </c>
    </row>
    <row r="13" spans="2:6" x14ac:dyDescent="0.25">
      <c r="B13" s="20" t="str">
        <f>+'County Data'!$B$27</f>
        <v>Klamath</v>
      </c>
      <c r="C13" s="15">
        <f>VLOOKUP($B13,'County Data'!$B$10:$P$46,2,FALSE)</f>
        <v>69822</v>
      </c>
      <c r="D13" s="6">
        <f t="shared" si="0"/>
        <v>2.0274408082352043E-2</v>
      </c>
      <c r="E13" s="14">
        <f t="shared" si="1"/>
        <v>0</v>
      </c>
      <c r="F13" s="10">
        <f t="shared" si="2"/>
        <v>0</v>
      </c>
    </row>
    <row r="14" spans="2:6" x14ac:dyDescent="0.25">
      <c r="B14" s="20" t="str">
        <f>+'County Data'!$B$29</f>
        <v>Lane</v>
      </c>
      <c r="C14" s="15">
        <f>VLOOKUP($B14,'County Data'!$B$10:$P$46,2,FALSE)</f>
        <v>382647</v>
      </c>
      <c r="D14" s="6">
        <f t="shared" si="0"/>
        <v>0.11111027225642008</v>
      </c>
      <c r="E14" s="14">
        <f t="shared" si="1"/>
        <v>0</v>
      </c>
      <c r="F14" s="10">
        <f t="shared" si="2"/>
        <v>0</v>
      </c>
    </row>
    <row r="15" spans="2:6" x14ac:dyDescent="0.25">
      <c r="B15" s="20" t="str">
        <f>+'County Data'!$B$11</f>
        <v>Benton</v>
      </c>
      <c r="C15" s="15">
        <f>VLOOKUP($B15,'County Data'!$B$10:$P$46,2,FALSE)</f>
        <v>93976</v>
      </c>
      <c r="D15" s="6">
        <f t="shared" si="0"/>
        <v>2.7288072154150776E-2</v>
      </c>
      <c r="E15" s="14">
        <f t="shared" si="1"/>
        <v>0</v>
      </c>
      <c r="F15" s="10">
        <f t="shared" si="2"/>
        <v>0</v>
      </c>
    </row>
    <row r="16" spans="2:6" x14ac:dyDescent="0.25">
      <c r="B16" s="20" t="str">
        <f>+'County Data'!$B$30</f>
        <v>Lincoln</v>
      </c>
      <c r="C16" s="15">
        <f>VLOOKUP($B16,'County Data'!$B$10:$P$46,2,FALSE)</f>
        <v>50903</v>
      </c>
      <c r="D16" s="6">
        <f t="shared" si="0"/>
        <v>1.4780845501646558E-2</v>
      </c>
      <c r="E16" s="14">
        <f t="shared" si="1"/>
        <v>0</v>
      </c>
      <c r="F16" s="10">
        <f t="shared" si="2"/>
        <v>0</v>
      </c>
    </row>
    <row r="17" spans="2:6" x14ac:dyDescent="0.25">
      <c r="B17" s="20" t="str">
        <f>+'County Data'!$B$31</f>
        <v>Linn</v>
      </c>
      <c r="C17" s="15">
        <f>VLOOKUP($B17,'County Data'!$B$10:$P$46,2,FALSE)</f>
        <v>130440</v>
      </c>
      <c r="D17" s="6">
        <f t="shared" si="0"/>
        <v>3.7876225119045578E-2</v>
      </c>
      <c r="E17" s="14">
        <f t="shared" si="1"/>
        <v>0</v>
      </c>
      <c r="F17" s="10">
        <f t="shared" si="2"/>
        <v>0</v>
      </c>
    </row>
    <row r="18" spans="2:6" x14ac:dyDescent="0.25">
      <c r="B18" s="20" t="str">
        <f>+'County Data'!$B$32</f>
        <v>Malheur</v>
      </c>
      <c r="C18" s="15">
        <f>VLOOKUP($B18,'County Data'!$B$10:$P$46,2,FALSE)</f>
        <v>31995</v>
      </c>
      <c r="D18" s="6">
        <f t="shared" si="0"/>
        <v>9.2904770214954253E-3</v>
      </c>
      <c r="E18" s="14">
        <f t="shared" si="1"/>
        <v>0</v>
      </c>
      <c r="F18" s="10">
        <f t="shared" si="2"/>
        <v>0</v>
      </c>
    </row>
    <row r="19" spans="2:6" x14ac:dyDescent="0.25">
      <c r="B19" s="20" t="str">
        <f>+'County Data'!$B$33</f>
        <v>Marion</v>
      </c>
      <c r="C19" s="15">
        <f>VLOOKUP($B19,'County Data'!$B$10:$P$46,2,FALSE)</f>
        <v>347182</v>
      </c>
      <c r="D19" s="6">
        <f t="shared" si="0"/>
        <v>0.10081220169641585</v>
      </c>
      <c r="E19" s="14">
        <f t="shared" si="1"/>
        <v>0</v>
      </c>
      <c r="F19" s="10">
        <f t="shared" si="2"/>
        <v>0</v>
      </c>
    </row>
    <row r="20" spans="2:6" x14ac:dyDescent="0.25">
      <c r="B20" s="20" t="str">
        <f>+'County Data'!$B$34</f>
        <v>Morrow</v>
      </c>
      <c r="C20" s="15">
        <f>VLOOKUP($B20,'County Data'!$B$10:$P$46,2,FALSE)</f>
        <v>12635</v>
      </c>
      <c r="D20" s="6">
        <f t="shared" si="0"/>
        <v>3.6688600458382467E-3</v>
      </c>
      <c r="E20" s="14">
        <f t="shared" si="1"/>
        <v>0</v>
      </c>
      <c r="F20" s="10">
        <f t="shared" si="2"/>
        <v>0</v>
      </c>
    </row>
    <row r="21" spans="2:6" x14ac:dyDescent="0.25">
      <c r="B21" s="20" t="str">
        <f>+'County Data'!$B$35</f>
        <v>Multnomah</v>
      </c>
      <c r="C21" s="15">
        <f>VLOOKUP($B21,'County Data'!$B$10:$P$46,2,FALSE)</f>
        <v>0</v>
      </c>
      <c r="D21" s="6">
        <f t="shared" si="0"/>
        <v>0</v>
      </c>
      <c r="E21" s="14">
        <f t="shared" si="1"/>
        <v>0</v>
      </c>
      <c r="F21" s="10" t="e">
        <f t="shared" si="2"/>
        <v>#DIV/0!</v>
      </c>
    </row>
    <row r="22" spans="2:6" x14ac:dyDescent="0.25">
      <c r="B22" s="20" t="str">
        <f>+'County Data'!$B$36</f>
        <v>Sherman, Wasco</v>
      </c>
      <c r="C22" s="15">
        <f>VLOOKUP($B22,'County Data'!$B$10:$P$46,2,FALSE)</f>
        <v>28489</v>
      </c>
      <c r="D22" s="6">
        <f t="shared" si="0"/>
        <v>8.2724300629905666E-3</v>
      </c>
      <c r="E22" s="14">
        <f t="shared" si="1"/>
        <v>0</v>
      </c>
      <c r="F22" s="10">
        <f t="shared" si="2"/>
        <v>0</v>
      </c>
    </row>
    <row r="23" spans="2:6" x14ac:dyDescent="0.25">
      <c r="B23" s="20" t="str">
        <f>+'County Data'!$B$37</f>
        <v>Polk</v>
      </c>
      <c r="C23" s="15">
        <f>VLOOKUP($B23,'County Data'!$B$10:$P$46,2,FALSE)</f>
        <v>88916</v>
      </c>
      <c r="D23" s="6">
        <f t="shared" si="0"/>
        <v>2.5818785899149471E-2</v>
      </c>
      <c r="E23" s="14">
        <f t="shared" si="1"/>
        <v>0</v>
      </c>
      <c r="F23" s="10">
        <f t="shared" si="2"/>
        <v>0</v>
      </c>
    </row>
    <row r="24" spans="2:6" x14ac:dyDescent="0.25">
      <c r="B24" s="20" t="str">
        <f>+'County Data'!$B$39</f>
        <v>Tillamook</v>
      </c>
      <c r="C24" s="15">
        <f>VLOOKUP($B24,'County Data'!$B$10:$P$46,2,FALSE)</f>
        <v>27628</v>
      </c>
      <c r="D24" s="6">
        <f t="shared" si="0"/>
        <v>8.02241910141821E-3</v>
      </c>
      <c r="E24" s="14">
        <f t="shared" si="1"/>
        <v>0</v>
      </c>
      <c r="F24" s="10">
        <f t="shared" si="2"/>
        <v>0</v>
      </c>
    </row>
    <row r="25" spans="2:6" x14ac:dyDescent="0.25">
      <c r="B25" s="20" t="str">
        <f>+'County Data'!$B$40</f>
        <v>Umatilla</v>
      </c>
      <c r="C25" s="15">
        <f>VLOOKUP($B25,'County Data'!$B$10:$P$46,2,FALSE)</f>
        <v>80463</v>
      </c>
      <c r="D25" s="6">
        <f t="shared" si="0"/>
        <v>2.3364264809519815E-2</v>
      </c>
      <c r="E25" s="14">
        <f t="shared" si="1"/>
        <v>0</v>
      </c>
      <c r="F25" s="10">
        <f t="shared" si="2"/>
        <v>0</v>
      </c>
    </row>
    <row r="26" spans="2:6" x14ac:dyDescent="0.25">
      <c r="B26" s="20" t="str">
        <f>+'County Data'!$B$12</f>
        <v>Clackamas</v>
      </c>
      <c r="C26" s="15">
        <f>VLOOKUP($B26,'County Data'!$B$10:$P$46,2,FALSE)</f>
        <v>425316</v>
      </c>
      <c r="D26" s="6">
        <f t="shared" si="0"/>
        <v>0.12350018830674632</v>
      </c>
      <c r="E26" s="14">
        <f t="shared" si="1"/>
        <v>0</v>
      </c>
      <c r="F26" s="10">
        <f t="shared" si="2"/>
        <v>0</v>
      </c>
    </row>
    <row r="27" spans="2:6" x14ac:dyDescent="0.25">
      <c r="B27" s="20" t="str">
        <f>+'County Data'!$B$41</f>
        <v>Union</v>
      </c>
      <c r="C27" s="15">
        <f>VLOOKUP($B27,'County Data'!$B$10:$P$46,2,FALSE)</f>
        <v>26295</v>
      </c>
      <c r="D27" s="6">
        <f t="shared" si="0"/>
        <v>7.635352188786442E-3</v>
      </c>
      <c r="E27" s="14">
        <f t="shared" si="1"/>
        <v>0</v>
      </c>
      <c r="F27" s="10">
        <f t="shared" si="2"/>
        <v>0</v>
      </c>
    </row>
    <row r="28" spans="2:6" x14ac:dyDescent="0.25">
      <c r="B28" s="20" t="str">
        <f>+'County Data'!$B$44</f>
        <v>Washington</v>
      </c>
      <c r="C28" s="15">
        <f>VLOOKUP($B28,'County Data'!$B$10:$P$46,2,FALSE)</f>
        <v>605036</v>
      </c>
      <c r="D28" s="6">
        <f t="shared" si="0"/>
        <v>0.17568598390928289</v>
      </c>
      <c r="E28" s="14">
        <f t="shared" si="1"/>
        <v>0</v>
      </c>
      <c r="F28" s="10">
        <f t="shared" si="2"/>
        <v>0</v>
      </c>
    </row>
    <row r="29" spans="2:6" x14ac:dyDescent="0.25">
      <c r="B29" s="20" t="str">
        <f>+'County Data'!$B$46</f>
        <v>Yamhill</v>
      </c>
      <c r="C29" s="15">
        <f>VLOOKUP($B29,'County Data'!$B$10:$P$46,2,FALSE)</f>
        <v>108261</v>
      </c>
      <c r="D29" s="6">
        <f t="shared" si="0"/>
        <v>3.1436047283141623E-2</v>
      </c>
      <c r="E29" s="14">
        <f t="shared" si="1"/>
        <v>0</v>
      </c>
      <c r="F29" s="10">
        <f t="shared" si="2"/>
        <v>0</v>
      </c>
    </row>
    <row r="30" spans="2:6" x14ac:dyDescent="0.25">
      <c r="B30" s="20" t="str">
        <f>+'County Data'!$B$13</f>
        <v>Clatsop</v>
      </c>
      <c r="C30" s="15">
        <f>VLOOKUP($B30,'County Data'!$B$10:$P$46,2,FALSE)</f>
        <v>41428</v>
      </c>
      <c r="D30" s="6">
        <f t="shared" si="0"/>
        <v>1.202956343323996E-2</v>
      </c>
      <c r="E30" s="14">
        <f t="shared" si="1"/>
        <v>0</v>
      </c>
      <c r="F30" s="10">
        <f t="shared" si="2"/>
        <v>0</v>
      </c>
    </row>
    <row r="31" spans="2:6" x14ac:dyDescent="0.25">
      <c r="B31" s="20" t="str">
        <f>+'County Data'!$B$14</f>
        <v>Columbia</v>
      </c>
      <c r="C31" s="15">
        <f>VLOOKUP($B31,'County Data'!$B$10:$P$46,2,FALSE)</f>
        <v>53014</v>
      </c>
      <c r="D31" s="6">
        <f t="shared" si="0"/>
        <v>1.5393822435304219E-2</v>
      </c>
      <c r="E31" s="14">
        <f t="shared" si="1"/>
        <v>0</v>
      </c>
      <c r="F31" s="10">
        <f t="shared" si="2"/>
        <v>0</v>
      </c>
    </row>
    <row r="32" spans="2:6" x14ac:dyDescent="0.25">
      <c r="B32" s="20" t="str">
        <f>+'County Data'!$B$15</f>
        <v>Coos</v>
      </c>
      <c r="C32" s="15">
        <f>VLOOKUP($B32,'County Data'!$B$10:$P$46,2,FALSE)</f>
        <v>65154</v>
      </c>
      <c r="D32" s="6">
        <f t="shared" si="0"/>
        <v>1.8918947956196686E-2</v>
      </c>
      <c r="E32" s="14">
        <f t="shared" si="1"/>
        <v>0</v>
      </c>
      <c r="F32" s="10">
        <f t="shared" si="2"/>
        <v>0</v>
      </c>
    </row>
    <row r="33" spans="2:6" x14ac:dyDescent="0.25">
      <c r="B33" s="20" t="str">
        <f>+'County Data'!$B$16</f>
        <v>Crook</v>
      </c>
      <c r="C33" s="15">
        <f>VLOOKUP($B33,'County Data'!$B$10:$P$46,2,FALSE)</f>
        <v>25482</v>
      </c>
      <c r="D33" s="6">
        <f t="shared" si="0"/>
        <v>7.3992791205421612E-3</v>
      </c>
      <c r="E33" s="14">
        <f t="shared" si="1"/>
        <v>0</v>
      </c>
      <c r="F33" s="10">
        <f t="shared" si="2"/>
        <v>0</v>
      </c>
    </row>
    <row r="34" spans="2:6" x14ac:dyDescent="0.25">
      <c r="B34" s="20" t="str">
        <f>+'County Data'!$B$17</f>
        <v>Curry</v>
      </c>
      <c r="C34" s="15">
        <f>VLOOKUP($B34,'County Data'!$B$10:$P$46,2,FALSE)</f>
        <v>23662</v>
      </c>
      <c r="D34" s="6">
        <f t="shared" si="0"/>
        <v>6.8708006651859591E-3</v>
      </c>
      <c r="E34" s="14">
        <f t="shared" si="1"/>
        <v>0</v>
      </c>
      <c r="F34" s="10">
        <f t="shared" si="2"/>
        <v>0</v>
      </c>
    </row>
    <row r="35" spans="2:6" x14ac:dyDescent="0.25">
      <c r="B35" s="20" t="str">
        <f>+'County Data'!$B$18</f>
        <v>Deschutes</v>
      </c>
      <c r="C35" s="15">
        <f>VLOOKUP($B35,'County Data'!$B$10:$P$46,2,FALSE)</f>
        <v>203390</v>
      </c>
      <c r="D35" s="6">
        <f t="shared" si="0"/>
        <v>5.9058919249943886E-2</v>
      </c>
      <c r="E35" s="14">
        <f t="shared" si="1"/>
        <v>0</v>
      </c>
      <c r="F35" s="10">
        <f t="shared" si="2"/>
        <v>0</v>
      </c>
    </row>
    <row r="36" spans="2:6" x14ac:dyDescent="0.25">
      <c r="B36" s="20" t="str">
        <f>+'County Data'!$B$21</f>
        <v>Grant</v>
      </c>
      <c r="C36" s="15">
        <f>VLOOKUP($B36,'County Data'!$B$10:$P$46,2,FALSE)</f>
        <v>7226</v>
      </c>
      <c r="D36" s="6">
        <f t="shared" si="0"/>
        <v>2.0982336914307218E-3</v>
      </c>
      <c r="E36" s="14">
        <f t="shared" si="1"/>
        <v>0</v>
      </c>
      <c r="F36" s="10">
        <f t="shared" si="2"/>
        <v>0</v>
      </c>
    </row>
    <row r="37" spans="2:6" x14ac:dyDescent="0.25">
      <c r="B37" s="20" t="str">
        <f>+'County Data'!$B$22</f>
        <v>Harney</v>
      </c>
      <c r="C37" s="15">
        <f>VLOOKUP($B37,'County Data'!$B$10:$P$46,2,FALSE)</f>
        <v>7537</v>
      </c>
      <c r="D37" s="6">
        <f t="shared" si="0"/>
        <v>2.1885396252855453E-3</v>
      </c>
      <c r="E37" s="14">
        <f t="shared" si="1"/>
        <v>0</v>
      </c>
      <c r="F37" s="10">
        <f t="shared" si="2"/>
        <v>0</v>
      </c>
    </row>
    <row r="38" spans="2:6" x14ac:dyDescent="0.25">
      <c r="B38" s="20" t="str">
        <f>+'County Data'!$B$28</f>
        <v>Lake</v>
      </c>
      <c r="C38" s="15">
        <f>VLOOKUP($B38,'County Data'!$B$10:$P$46,2,FALSE)</f>
        <v>8177</v>
      </c>
      <c r="D38" s="6">
        <f t="shared" si="0"/>
        <v>2.3743782029932207E-3</v>
      </c>
      <c r="E38" s="14">
        <f t="shared" si="1"/>
        <v>0</v>
      </c>
      <c r="F38" s="10">
        <f t="shared" si="2"/>
        <v>0</v>
      </c>
    </row>
    <row r="39" spans="2:6" x14ac:dyDescent="0.25">
      <c r="B39" s="20" t="str">
        <f>+'County Data'!$B$42</f>
        <v>Wallowa</v>
      </c>
      <c r="C39" s="15">
        <f>VLOOKUP($B39,'County Data'!$B$10:$P$46,2,FALSE)</f>
        <v>7433</v>
      </c>
      <c r="D39" s="6">
        <f t="shared" si="0"/>
        <v>2.1583408564080481E-3</v>
      </c>
      <c r="E39" s="14">
        <f t="shared" si="1"/>
        <v>0</v>
      </c>
      <c r="F39" s="10">
        <f t="shared" si="2"/>
        <v>0</v>
      </c>
    </row>
    <row r="40" spans="2:6" x14ac:dyDescent="0.25">
      <c r="B40" s="20" t="str">
        <f>'County Data'!$B$45</f>
        <v>Wheeler</v>
      </c>
      <c r="C40" s="15">
        <f>VLOOKUP($B40,'County Data'!$B$10:$P$46,2,FALSE)</f>
        <v>1456</v>
      </c>
      <c r="D40" s="6">
        <f t="shared" si="0"/>
        <v>4.227827642849614E-4</v>
      </c>
      <c r="E40" s="14">
        <f t="shared" si="1"/>
        <v>0</v>
      </c>
      <c r="F40" s="10">
        <f t="shared" si="2"/>
        <v>0</v>
      </c>
    </row>
    <row r="41" spans="2:6" x14ac:dyDescent="0.25">
      <c r="B41" s="4" t="s">
        <v>2</v>
      </c>
      <c r="C41" s="5">
        <f t="shared" ref="C41:D41" si="3">SUM(C7:C40)</f>
        <v>3443849</v>
      </c>
      <c r="D41" s="8">
        <f t="shared" si="3"/>
        <v>1</v>
      </c>
      <c r="E41" s="11">
        <f>SUM(E7:E40)</f>
        <v>0</v>
      </c>
      <c r="F41" s="12">
        <f t="shared" ref="F41" si="4">E41/C41</f>
        <v>0</v>
      </c>
    </row>
  </sheetData>
  <sortState xmlns:xlrd2="http://schemas.microsoft.com/office/spreadsheetml/2017/richdata2" ref="B7:F40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T59"/>
  <sheetViews>
    <sheetView topLeftCell="A4"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12.140625" bestFit="1" customWidth="1"/>
    <col min="5" max="5" width="14.140625" customWidth="1"/>
    <col min="6" max="6" width="10" bestFit="1" customWidth="1"/>
    <col min="7" max="7" width="13.5703125" bestFit="1" customWidth="1"/>
    <col min="8" max="8" width="10.7109375" bestFit="1" customWidth="1"/>
    <col min="10" max="10" width="10.85546875" bestFit="1" customWidth="1"/>
  </cols>
  <sheetData>
    <row r="3" spans="2:20" x14ac:dyDescent="0.25">
      <c r="B3" t="s">
        <v>0</v>
      </c>
      <c r="C3" s="1">
        <f>'County Data'!C5</f>
        <v>14500000</v>
      </c>
    </row>
    <row r="4" spans="2:20" x14ac:dyDescent="0.25">
      <c r="B4" t="s">
        <v>41</v>
      </c>
      <c r="C4" s="14">
        <f>C3*Input!C7</f>
        <v>2675250</v>
      </c>
    </row>
    <row r="6" spans="2:20" s="2" customFormat="1" ht="30" x14ac:dyDescent="0.25">
      <c r="B6" s="3" t="s">
        <v>7</v>
      </c>
      <c r="C6" s="3" t="s">
        <v>1</v>
      </c>
      <c r="D6" s="3" t="s">
        <v>88</v>
      </c>
      <c r="E6" s="13" t="s">
        <v>87</v>
      </c>
      <c r="F6" s="3" t="s">
        <v>6</v>
      </c>
      <c r="P6" s="2" t="s">
        <v>139</v>
      </c>
      <c r="Q6" s="2" t="s">
        <v>140</v>
      </c>
    </row>
    <row r="7" spans="2:20" x14ac:dyDescent="0.25">
      <c r="B7" s="20" t="str">
        <f>+'County Data'!$B$10</f>
        <v>Baker</v>
      </c>
      <c r="C7" s="15">
        <f>VLOOKUP($B7,'County Data'!$B$10:$P$46,2,FALSE)</f>
        <v>16860</v>
      </c>
      <c r="D7" s="15" t="str">
        <f>VLOOKUP($B7,'County Data'!$B$10:$P$46,3,FALSE)</f>
        <v>Extra Small</v>
      </c>
      <c r="E7" s="14">
        <f>VLOOKUP(D7,$H$7:$J$11,3,FALSE)</f>
        <v>43149.193548387091</v>
      </c>
      <c r="F7" s="10">
        <f t="shared" ref="F7:F42" si="0">E7/C7</f>
        <v>2.5592641487774075</v>
      </c>
      <c r="G7" s="10">
        <f>C4*I7</f>
        <v>7961.0262096774186</v>
      </c>
      <c r="H7" t="s">
        <v>44</v>
      </c>
      <c r="I7" s="7">
        <f>Input!$C$8</f>
        <v>2.975806451612903E-3</v>
      </c>
      <c r="J7" s="61">
        <f>$C$3*I7</f>
        <v>43149.193548387091</v>
      </c>
      <c r="O7" t="s">
        <v>44</v>
      </c>
      <c r="P7">
        <v>9</v>
      </c>
      <c r="Q7">
        <v>1</v>
      </c>
      <c r="R7">
        <f>P7*Q7</f>
        <v>9</v>
      </c>
    </row>
    <row r="8" spans="2:20" x14ac:dyDescent="0.25">
      <c r="B8" s="20" t="str">
        <f>+'County Data'!$B$11</f>
        <v>Benton</v>
      </c>
      <c r="C8" s="15">
        <f>VLOOKUP($B8,'County Data'!$B$10:$P$46,2,FALSE)</f>
        <v>93976</v>
      </c>
      <c r="D8" s="15" t="str">
        <f>VLOOKUP($B8,'County Data'!$B$10:$P$46,3,FALSE)</f>
        <v>Medium</v>
      </c>
      <c r="E8" s="14">
        <f t="shared" ref="E8:E42" si="1">VLOOKUP(D8,$H$7:$J$11,3,FALSE)</f>
        <v>86298.387096774182</v>
      </c>
      <c r="F8" s="10">
        <f t="shared" si="0"/>
        <v>0.91830240802730678</v>
      </c>
      <c r="H8" t="s">
        <v>45</v>
      </c>
      <c r="I8" s="7">
        <f>Input!$C$9</f>
        <v>4.4637096774193547E-3</v>
      </c>
      <c r="J8" s="61">
        <f t="shared" ref="J8:J11" si="2">$C$3*I8</f>
        <v>64723.790322580644</v>
      </c>
      <c r="O8" t="s">
        <v>45</v>
      </c>
      <c r="P8">
        <v>13</v>
      </c>
      <c r="Q8">
        <v>1.5</v>
      </c>
      <c r="R8">
        <f>P8*Q8</f>
        <v>19.5</v>
      </c>
    </row>
    <row r="9" spans="2:20" x14ac:dyDescent="0.25">
      <c r="B9" s="20" t="str">
        <f>+'County Data'!$B$12</f>
        <v>Clackamas</v>
      </c>
      <c r="C9" s="15">
        <f>VLOOKUP($B9,'County Data'!$B$10:$P$46,2,FALSE)</f>
        <v>425316</v>
      </c>
      <c r="D9" s="15" t="str">
        <f>VLOOKUP($B9,'County Data'!$B$10:$P$46,3,FALSE)</f>
        <v>Extra Large</v>
      </c>
      <c r="E9" s="14">
        <f t="shared" si="1"/>
        <v>129447.58064516129</v>
      </c>
      <c r="F9" s="10">
        <f t="shared" si="0"/>
        <v>0.30435624487477847</v>
      </c>
      <c r="H9" t="s">
        <v>46</v>
      </c>
      <c r="I9" s="7">
        <f>Input!$C$10</f>
        <v>5.951612903225806E-3</v>
      </c>
      <c r="J9" s="61">
        <f t="shared" si="2"/>
        <v>86298.387096774182</v>
      </c>
      <c r="O9" t="s">
        <v>46</v>
      </c>
      <c r="P9">
        <v>7</v>
      </c>
      <c r="Q9">
        <v>2</v>
      </c>
      <c r="R9">
        <f>P9*Q9</f>
        <v>14</v>
      </c>
    </row>
    <row r="10" spans="2:20" x14ac:dyDescent="0.25">
      <c r="B10" s="20" t="str">
        <f>+'County Data'!$B$13</f>
        <v>Clatsop</v>
      </c>
      <c r="C10" s="15">
        <f>VLOOKUP($B10,'County Data'!$B$10:$P$46,2,FALSE)</f>
        <v>41428</v>
      </c>
      <c r="D10" s="15" t="str">
        <f>VLOOKUP($B10,'County Data'!$B$10:$P$46,3,FALSE)</f>
        <v>Small</v>
      </c>
      <c r="E10" s="14">
        <f t="shared" si="1"/>
        <v>64723.790322580644</v>
      </c>
      <c r="F10" s="10">
        <f t="shared" si="0"/>
        <v>1.5623199363372753</v>
      </c>
      <c r="H10" t="s">
        <v>47</v>
      </c>
      <c r="I10" s="7">
        <f>Input!$C$11</f>
        <v>7.4395161290322573E-3</v>
      </c>
      <c r="J10" s="61">
        <f t="shared" si="2"/>
        <v>107872.98387096773</v>
      </c>
      <c r="O10" t="s">
        <v>47</v>
      </c>
      <c r="P10">
        <v>3</v>
      </c>
      <c r="Q10">
        <v>2.5</v>
      </c>
      <c r="R10">
        <f>P10*Q10</f>
        <v>7.5</v>
      </c>
    </row>
    <row r="11" spans="2:20" x14ac:dyDescent="0.25">
      <c r="B11" s="20" t="str">
        <f>+'County Data'!$B$14</f>
        <v>Columbia</v>
      </c>
      <c r="C11" s="15">
        <f>VLOOKUP($B11,'County Data'!$B$10:$P$46,2,FALSE)</f>
        <v>53014</v>
      </c>
      <c r="D11" s="15" t="str">
        <f>VLOOKUP($B11,'County Data'!$B$10:$P$46,3,FALSE)</f>
        <v>Small</v>
      </c>
      <c r="E11" s="14">
        <f t="shared" si="1"/>
        <v>64723.790322580644</v>
      </c>
      <c r="F11" s="10">
        <f t="shared" si="0"/>
        <v>1.2208810940993067</v>
      </c>
      <c r="H11" t="s">
        <v>48</v>
      </c>
      <c r="I11" s="7">
        <f>Input!$C$12</f>
        <v>8.9274193548387094E-3</v>
      </c>
      <c r="J11" s="61">
        <f t="shared" si="2"/>
        <v>129447.58064516129</v>
      </c>
      <c r="O11" t="s">
        <v>48</v>
      </c>
      <c r="P11">
        <v>4</v>
      </c>
      <c r="Q11">
        <v>3</v>
      </c>
      <c r="R11">
        <f>P11*Q11</f>
        <v>12</v>
      </c>
    </row>
    <row r="12" spans="2:20" x14ac:dyDescent="0.25">
      <c r="B12" s="20" t="str">
        <f>+'County Data'!$B$15</f>
        <v>Coos</v>
      </c>
      <c r="C12" s="15">
        <f>VLOOKUP($B12,'County Data'!$B$10:$P$46,2,FALSE)</f>
        <v>65154</v>
      </c>
      <c r="D12" s="15" t="str">
        <f>VLOOKUP($B12,'County Data'!$B$10:$P$46,3,FALSE)</f>
        <v>Small</v>
      </c>
      <c r="E12" s="14">
        <f t="shared" si="1"/>
        <v>64723.790322580644</v>
      </c>
      <c r="F12" s="10">
        <f t="shared" si="0"/>
        <v>0.99339703352949382</v>
      </c>
      <c r="R12">
        <f>SUM(R7:R11)</f>
        <v>62</v>
      </c>
      <c r="S12" s="204">
        <f>1/R12</f>
        <v>1.6129032258064516E-2</v>
      </c>
      <c r="T12" s="71" t="s">
        <v>141</v>
      </c>
    </row>
    <row r="13" spans="2:20" x14ac:dyDescent="0.25">
      <c r="B13" s="20" t="str">
        <f>+'County Data'!$B$16</f>
        <v>Crook</v>
      </c>
      <c r="C13" s="15">
        <f>VLOOKUP($B13,'County Data'!$B$10:$P$46,2,FALSE)</f>
        <v>25482</v>
      </c>
      <c r="D13" s="15" t="str">
        <f>VLOOKUP($B13,'County Data'!$B$10:$P$46,3,FALSE)</f>
        <v>Small</v>
      </c>
      <c r="E13" s="14">
        <f t="shared" si="1"/>
        <v>64723.790322580644</v>
      </c>
      <c r="F13" s="10">
        <f t="shared" si="0"/>
        <v>2.5399807833992876</v>
      </c>
    </row>
    <row r="14" spans="2:20" x14ac:dyDescent="0.25">
      <c r="B14" s="20" t="str">
        <f>+'County Data'!$B$17</f>
        <v>Curry</v>
      </c>
      <c r="C14" s="15">
        <f>VLOOKUP($B14,'County Data'!$B$10:$P$46,2,FALSE)</f>
        <v>23662</v>
      </c>
      <c r="D14" s="15" t="str">
        <f>VLOOKUP($B14,'County Data'!$B$10:$P$46,3,FALSE)</f>
        <v>Small</v>
      </c>
      <c r="E14" s="14">
        <f t="shared" si="1"/>
        <v>64723.790322580644</v>
      </c>
      <c r="F14" s="10">
        <f t="shared" si="0"/>
        <v>2.7353474060764364</v>
      </c>
    </row>
    <row r="15" spans="2:20" x14ac:dyDescent="0.25">
      <c r="B15" s="20" t="str">
        <f>+'County Data'!$B$18</f>
        <v>Deschutes</v>
      </c>
      <c r="C15" s="15">
        <f>VLOOKUP($B15,'County Data'!$B$10:$P$46,2,FALSE)</f>
        <v>203390</v>
      </c>
      <c r="D15" s="15" t="str">
        <f>VLOOKUP($B15,'County Data'!$B$10:$P$46,3,FALSE)</f>
        <v>Large</v>
      </c>
      <c r="E15" s="14">
        <f t="shared" si="1"/>
        <v>107872.98387096773</v>
      </c>
      <c r="F15" s="10">
        <f t="shared" si="0"/>
        <v>0.53037506205303964</v>
      </c>
    </row>
    <row r="16" spans="2:20" x14ac:dyDescent="0.25">
      <c r="B16" s="20" t="str">
        <f>+'County Data'!$B$19</f>
        <v>Douglas</v>
      </c>
      <c r="C16" s="15">
        <f>VLOOKUP($B16,'County Data'!$B$10:$P$46,2,FALSE)</f>
        <v>111694</v>
      </c>
      <c r="D16" s="15" t="str">
        <f>VLOOKUP($B16,'County Data'!$B$10:$P$46,3,FALSE)</f>
        <v>Medium</v>
      </c>
      <c r="E16" s="14">
        <f t="shared" si="1"/>
        <v>86298.387096774182</v>
      </c>
      <c r="F16" s="10">
        <f t="shared" si="0"/>
        <v>0.77263225506091804</v>
      </c>
    </row>
    <row r="17" spans="2:6" x14ac:dyDescent="0.25">
      <c r="B17" s="200" t="str">
        <f>+'County Data'!$B$20</f>
        <v>Gilliam</v>
      </c>
      <c r="C17" s="201">
        <f>VLOOKUP($B17,'County Data'!$B$10:$P$46,2,FALSE)</f>
        <v>2039</v>
      </c>
      <c r="D17" s="201" t="str">
        <f>VLOOKUP($B17,'County Data'!$B$10:$P$46,3,FALSE)</f>
        <v>Extra Small</v>
      </c>
      <c r="E17" s="203">
        <f t="shared" si="1"/>
        <v>43149.193548387091</v>
      </c>
      <c r="F17" s="202">
        <f t="shared" si="0"/>
        <v>21.161938964387979</v>
      </c>
    </row>
    <row r="18" spans="2:6" x14ac:dyDescent="0.25">
      <c r="B18" s="20" t="str">
        <f>+'County Data'!$B$21</f>
        <v>Grant</v>
      </c>
      <c r="C18" s="15">
        <f>VLOOKUP($B18,'County Data'!$B$10:$P$46,2,FALSE)</f>
        <v>7226</v>
      </c>
      <c r="D18" s="15" t="str">
        <f>VLOOKUP($B18,'County Data'!$B$10:$P$46,3,FALSE)</f>
        <v>Extra Small</v>
      </c>
      <c r="E18" s="14">
        <f t="shared" si="1"/>
        <v>43149.193548387091</v>
      </c>
      <c r="F18" s="10">
        <f t="shared" si="0"/>
        <v>5.9713802308866715</v>
      </c>
    </row>
    <row r="19" spans="2:6" x14ac:dyDescent="0.25">
      <c r="B19" s="20" t="str">
        <f>+'County Data'!$B$22</f>
        <v>Harney</v>
      </c>
      <c r="C19" s="15">
        <f>VLOOKUP($B19,'County Data'!$B$10:$P$46,2,FALSE)</f>
        <v>7537</v>
      </c>
      <c r="D19" s="15" t="str">
        <f>VLOOKUP($B19,'County Data'!$B$10:$P$46,3,FALSE)</f>
        <v>Extra Small</v>
      </c>
      <c r="E19" s="14">
        <f t="shared" si="1"/>
        <v>43149.193548387091</v>
      </c>
      <c r="F19" s="10">
        <f t="shared" si="0"/>
        <v>5.7249825591597574</v>
      </c>
    </row>
    <row r="20" spans="2:6" x14ac:dyDescent="0.25">
      <c r="B20" s="20" t="str">
        <f>+'County Data'!$B$23</f>
        <v>Hood River</v>
      </c>
      <c r="C20" s="15">
        <f>VLOOKUP($B20,'County Data'!$B$10:$P$46,2,FALSE)</f>
        <v>23888</v>
      </c>
      <c r="D20" s="15" t="str">
        <f>VLOOKUP($B20,'County Data'!$B$10:$P$46,3,FALSE)</f>
        <v>Small</v>
      </c>
      <c r="E20" s="14">
        <f t="shared" si="1"/>
        <v>64723.790322580644</v>
      </c>
      <c r="F20" s="10">
        <f t="shared" si="0"/>
        <v>2.7094687844348897</v>
      </c>
    </row>
    <row r="21" spans="2:6" x14ac:dyDescent="0.25">
      <c r="B21" s="20" t="str">
        <f>+'County Data'!$B$24</f>
        <v>Jackson</v>
      </c>
      <c r="C21" s="15">
        <f>VLOOKUP($B21,'County Data'!$B$10:$P$46,2,FALSE)</f>
        <v>223827</v>
      </c>
      <c r="D21" s="15" t="str">
        <f>VLOOKUP($B21,'County Data'!$B$10:$P$46,3,FALSE)</f>
        <v>Large</v>
      </c>
      <c r="E21" s="14">
        <f t="shared" si="1"/>
        <v>107872.98387096773</v>
      </c>
      <c r="F21" s="10">
        <f t="shared" si="0"/>
        <v>0.48194803965101496</v>
      </c>
    </row>
    <row r="22" spans="2:6" x14ac:dyDescent="0.25">
      <c r="B22" s="20" t="str">
        <f>+'County Data'!$B$25</f>
        <v>Jefferson</v>
      </c>
      <c r="C22" s="15">
        <f>VLOOKUP($B22,'County Data'!$B$10:$P$46,2,FALSE)</f>
        <v>24889</v>
      </c>
      <c r="D22" s="15" t="str">
        <f>VLOOKUP($B22,'County Data'!$B$10:$P$46,3,FALSE)</f>
        <v>Small</v>
      </c>
      <c r="E22" s="14">
        <f t="shared" si="1"/>
        <v>64723.790322580644</v>
      </c>
      <c r="F22" s="10">
        <f t="shared" si="0"/>
        <v>2.6004978232384044</v>
      </c>
    </row>
    <row r="23" spans="2:6" x14ac:dyDescent="0.25">
      <c r="B23" s="20" t="str">
        <f>+'County Data'!$B$26</f>
        <v>Josephine</v>
      </c>
      <c r="C23" s="15">
        <f>VLOOKUP($B23,'County Data'!$B$10:$P$46,2,FALSE)</f>
        <v>88728</v>
      </c>
      <c r="D23" s="15" t="str">
        <f>VLOOKUP($B23,'County Data'!$B$10:$P$46,3,FALSE)</f>
        <v>Medium</v>
      </c>
      <c r="E23" s="14">
        <f t="shared" si="1"/>
        <v>86298.387096774182</v>
      </c>
      <c r="F23" s="10">
        <f t="shared" si="0"/>
        <v>0.97261729213747838</v>
      </c>
    </row>
    <row r="24" spans="2:6" x14ac:dyDescent="0.25">
      <c r="B24" s="20" t="str">
        <f>+'County Data'!$B$27</f>
        <v>Klamath</v>
      </c>
      <c r="C24" s="15">
        <f>VLOOKUP($B24,'County Data'!$B$10:$P$46,2,FALSE)</f>
        <v>69822</v>
      </c>
      <c r="D24" s="15" t="str">
        <f>VLOOKUP($B24,'County Data'!$B$10:$P$46,3,FALSE)</f>
        <v>Small</v>
      </c>
      <c r="E24" s="14">
        <f t="shared" si="1"/>
        <v>64723.790322580644</v>
      </c>
      <c r="F24" s="10">
        <f t="shared" si="0"/>
        <v>0.92698276077139929</v>
      </c>
    </row>
    <row r="25" spans="2:6" x14ac:dyDescent="0.25">
      <c r="B25" s="20" t="str">
        <f>+'County Data'!$B$28</f>
        <v>Lake</v>
      </c>
      <c r="C25" s="15">
        <f>VLOOKUP($B25,'County Data'!$B$10:$P$46,2,FALSE)</f>
        <v>8177</v>
      </c>
      <c r="D25" s="15" t="str">
        <f>VLOOKUP($B25,'County Data'!$B$10:$P$46,3,FALSE)</f>
        <v>Extra Small</v>
      </c>
      <c r="E25" s="14">
        <f t="shared" si="1"/>
        <v>43149.193548387091</v>
      </c>
      <c r="F25" s="10">
        <f t="shared" si="0"/>
        <v>5.2768978290799913</v>
      </c>
    </row>
    <row r="26" spans="2:6" x14ac:dyDescent="0.25">
      <c r="B26" s="20" t="str">
        <f>+'County Data'!$B$29</f>
        <v>Lane</v>
      </c>
      <c r="C26" s="15">
        <f>VLOOKUP($B26,'County Data'!$B$10:$P$46,2,FALSE)</f>
        <v>382647</v>
      </c>
      <c r="D26" s="15" t="str">
        <f>VLOOKUP($B26,'County Data'!$B$10:$P$46,3,FALSE)</f>
        <v>Extra Large</v>
      </c>
      <c r="E26" s="14">
        <f t="shared" si="1"/>
        <v>129447.58064516129</v>
      </c>
      <c r="F26" s="10">
        <f t="shared" si="0"/>
        <v>0.33829503601272526</v>
      </c>
    </row>
    <row r="27" spans="2:6" x14ac:dyDescent="0.25">
      <c r="B27" s="20" t="str">
        <f>+'County Data'!$B$30</f>
        <v>Lincoln</v>
      </c>
      <c r="C27" s="15">
        <f>VLOOKUP($B27,'County Data'!$B$10:$P$46,2,FALSE)</f>
        <v>50903</v>
      </c>
      <c r="D27" s="15" t="str">
        <f>VLOOKUP($B27,'County Data'!$B$10:$P$46,3,FALSE)</f>
        <v>Small</v>
      </c>
      <c r="E27" s="14">
        <f>VLOOKUP(D27,$H$7:$J$11,3,FALSE)</f>
        <v>64723.790322580644</v>
      </c>
      <c r="F27" s="10">
        <f t="shared" si="0"/>
        <v>1.2715122944144872</v>
      </c>
    </row>
    <row r="28" spans="2:6" x14ac:dyDescent="0.25">
      <c r="B28" s="20" t="str">
        <f>+'County Data'!$B$31</f>
        <v>Linn</v>
      </c>
      <c r="C28" s="15">
        <f>VLOOKUP($B28,'County Data'!$B$10:$P$46,2,FALSE)</f>
        <v>130440</v>
      </c>
      <c r="D28" s="15" t="str">
        <f>VLOOKUP($B28,'County Data'!$B$10:$P$46,3,FALSE)</f>
        <v>Medium</v>
      </c>
      <c r="E28" s="14">
        <f t="shared" si="1"/>
        <v>86298.387096774182</v>
      </c>
      <c r="F28" s="10">
        <f t="shared" si="0"/>
        <v>0.66159450396177688</v>
      </c>
    </row>
    <row r="29" spans="2:6" x14ac:dyDescent="0.25">
      <c r="B29" s="20" t="str">
        <f>+'County Data'!$B$32</f>
        <v>Malheur</v>
      </c>
      <c r="C29" s="15">
        <f>VLOOKUP($B29,'County Data'!$B$10:$P$46,2,FALSE)</f>
        <v>31995</v>
      </c>
      <c r="D29" s="15" t="str">
        <f>VLOOKUP($B29,'County Data'!$B$10:$P$46,3,FALSE)</f>
        <v>Small</v>
      </c>
      <c r="E29" s="14">
        <f t="shared" si="1"/>
        <v>64723.790322580644</v>
      </c>
      <c r="F29" s="10">
        <f t="shared" si="0"/>
        <v>2.0229345311011295</v>
      </c>
    </row>
    <row r="30" spans="2:6" x14ac:dyDescent="0.25">
      <c r="B30" s="20" t="str">
        <f>+'County Data'!$B$33</f>
        <v>Marion</v>
      </c>
      <c r="C30" s="15">
        <f>VLOOKUP($B30,'County Data'!$B$10:$P$46,2,FALSE)</f>
        <v>347182</v>
      </c>
      <c r="D30" s="15" t="str">
        <f>VLOOKUP($B30,'County Data'!$B$10:$P$46,3,FALSE)</f>
        <v>Large</v>
      </c>
      <c r="E30" s="14">
        <f t="shared" si="1"/>
        <v>107872.98387096773</v>
      </c>
      <c r="F30" s="10">
        <f t="shared" si="0"/>
        <v>0.31071018621635837</v>
      </c>
    </row>
    <row r="31" spans="2:6" x14ac:dyDescent="0.25">
      <c r="B31" s="20" t="str">
        <f>+'County Data'!$B$34</f>
        <v>Morrow</v>
      </c>
      <c r="C31" s="15">
        <f>VLOOKUP($B31,'County Data'!$B$10:$P$46,2,FALSE)</f>
        <v>12635</v>
      </c>
      <c r="D31" s="15" t="str">
        <f>VLOOKUP($B31,'County Data'!$B$10:$P$46,3,FALSE)</f>
        <v>Extra Small</v>
      </c>
      <c r="E31" s="14">
        <f t="shared" si="1"/>
        <v>43149.193548387091</v>
      </c>
      <c r="F31" s="10">
        <f t="shared" si="0"/>
        <v>3.4150529124168649</v>
      </c>
    </row>
    <row r="32" spans="2:6" x14ac:dyDescent="0.25">
      <c r="B32" s="20" t="str">
        <f>+'County Data'!$B$35</f>
        <v>Multnomah</v>
      </c>
      <c r="C32" s="15">
        <f>VLOOKUP($B32,'County Data'!$B$10:$P$46,2,FALSE)</f>
        <v>0</v>
      </c>
      <c r="D32" s="15"/>
      <c r="E32" s="14"/>
      <c r="F32" s="10" t="e">
        <f t="shared" si="0"/>
        <v>#DIV/0!</v>
      </c>
    </row>
    <row r="33" spans="2:8" x14ac:dyDescent="0.25">
      <c r="B33" s="20" t="str">
        <f>+'County Data'!$B$37</f>
        <v>Polk</v>
      </c>
      <c r="C33" s="15">
        <f>VLOOKUP($B33,'County Data'!$B$10:$P$46,2,FALSE)</f>
        <v>88916</v>
      </c>
      <c r="D33" s="15" t="str">
        <f>VLOOKUP($B33,'County Data'!$B$10:$P$46,3,FALSE)</f>
        <v>Medium</v>
      </c>
      <c r="E33" s="14">
        <f t="shared" si="1"/>
        <v>86298.387096774182</v>
      </c>
      <c r="F33" s="10">
        <f t="shared" si="0"/>
        <v>0.97056083378440527</v>
      </c>
    </row>
    <row r="34" spans="2:8" x14ac:dyDescent="0.25">
      <c r="B34" s="200" t="str">
        <f>+'County Data'!$B$38</f>
        <v>Sherman</v>
      </c>
      <c r="C34" s="201">
        <f>VLOOKUP($B34,'County Data'!$B$10:$P$46,2,FALSE)</f>
        <v>1908</v>
      </c>
      <c r="D34" s="201" t="str">
        <f>VLOOKUP($B34,'County Data'!$B$10:$P$46,3,FALSE)</f>
        <v>Extra Small</v>
      </c>
      <c r="E34" s="203">
        <f t="shared" si="1"/>
        <v>43149.193548387091</v>
      </c>
      <c r="F34" s="202">
        <f t="shared" si="0"/>
        <v>22.614881314668288</v>
      </c>
    </row>
    <row r="35" spans="2:8" x14ac:dyDescent="0.25">
      <c r="B35" s="20" t="str">
        <f>+'County Data'!$B$39</f>
        <v>Tillamook</v>
      </c>
      <c r="C35" s="15">
        <f>VLOOKUP($B35,'County Data'!$B$10:$P$46,2,FALSE)</f>
        <v>27628</v>
      </c>
      <c r="D35" s="15" t="str">
        <f>VLOOKUP($B35,'County Data'!$B$10:$P$46,3,FALSE)</f>
        <v>Small</v>
      </c>
      <c r="E35" s="14">
        <f t="shared" si="1"/>
        <v>64723.790322580644</v>
      </c>
      <c r="F35" s="10">
        <f t="shared" si="0"/>
        <v>2.3426882265303548</v>
      </c>
    </row>
    <row r="36" spans="2:8" x14ac:dyDescent="0.25">
      <c r="B36" s="20" t="str">
        <f>+'County Data'!$B$40</f>
        <v>Umatilla</v>
      </c>
      <c r="C36" s="15">
        <f>VLOOKUP($B36,'County Data'!$B$10:$P$46,2,FALSE)</f>
        <v>80463</v>
      </c>
      <c r="D36" s="15" t="str">
        <f>VLOOKUP($B36,'County Data'!$B$10:$P$46,3,FALSE)</f>
        <v>Medium</v>
      </c>
      <c r="E36" s="14">
        <f t="shared" si="1"/>
        <v>86298.387096774182</v>
      </c>
      <c r="F36" s="10">
        <f t="shared" si="0"/>
        <v>1.0725226140806854</v>
      </c>
    </row>
    <row r="37" spans="2:8" x14ac:dyDescent="0.25">
      <c r="B37" s="20" t="str">
        <f>+'County Data'!$B$41</f>
        <v>Union</v>
      </c>
      <c r="C37" s="15">
        <f>VLOOKUP($B37,'County Data'!$B$10:$P$46,2,FALSE)</f>
        <v>26295</v>
      </c>
      <c r="D37" s="15" t="str">
        <f>VLOOKUP($B37,'County Data'!$B$10:$P$46,3,FALSE)</f>
        <v>Small</v>
      </c>
      <c r="E37" s="14">
        <f t="shared" si="1"/>
        <v>64723.790322580644</v>
      </c>
      <c r="F37" s="10">
        <f t="shared" si="0"/>
        <v>2.4614485766336052</v>
      </c>
    </row>
    <row r="38" spans="2:8" x14ac:dyDescent="0.25">
      <c r="B38" s="20" t="str">
        <f>+'County Data'!$B$42</f>
        <v>Wallowa</v>
      </c>
      <c r="C38" s="15">
        <f>VLOOKUP($B38,'County Data'!$B$10:$P$46,2,FALSE)</f>
        <v>7433</v>
      </c>
      <c r="D38" s="15" t="str">
        <f>VLOOKUP($B38,'County Data'!$B$10:$P$46,3,FALSE)</f>
        <v>Extra Small</v>
      </c>
      <c r="E38" s="14">
        <f t="shared" si="1"/>
        <v>43149.193548387091</v>
      </c>
      <c r="F38" s="10">
        <f t="shared" si="0"/>
        <v>5.8050845618709932</v>
      </c>
    </row>
    <row r="39" spans="2:8" x14ac:dyDescent="0.25">
      <c r="B39" s="200" t="str">
        <f>+'County Data'!$B$43</f>
        <v>Wasco</v>
      </c>
      <c r="C39" s="201">
        <f>VLOOKUP($B39,'County Data'!$B$10:$P$46,2,FALSE)</f>
        <v>26581</v>
      </c>
      <c r="D39" s="201" t="str">
        <f>VLOOKUP($B39,'County Data'!$B$10:$P$46,3,FALSE)</f>
        <v>Small</v>
      </c>
      <c r="E39" s="203">
        <f t="shared" si="1"/>
        <v>64723.790322580644</v>
      </c>
      <c r="F39" s="202">
        <f t="shared" si="0"/>
        <v>2.4349644604258924</v>
      </c>
    </row>
    <row r="40" spans="2:8" x14ac:dyDescent="0.25">
      <c r="B40" s="20" t="str">
        <f>+'County Data'!$B$44</f>
        <v>Washington</v>
      </c>
      <c r="C40" s="15">
        <f>VLOOKUP($B40,'County Data'!$B$10:$P$46,2,FALSE)</f>
        <v>605036</v>
      </c>
      <c r="D40" s="15" t="str">
        <f>VLOOKUP($B40,'County Data'!$B$10:$P$46,3,FALSE)</f>
        <v>Extra Large</v>
      </c>
      <c r="E40" s="14">
        <f t="shared" si="1"/>
        <v>129447.58064516129</v>
      </c>
      <c r="F40" s="10">
        <f t="shared" si="0"/>
        <v>0.21395021229341937</v>
      </c>
    </row>
    <row r="41" spans="2:8" x14ac:dyDescent="0.25">
      <c r="B41" s="20" t="str">
        <f>'County Data'!$B$45</f>
        <v>Wheeler</v>
      </c>
      <c r="C41" s="15">
        <f>VLOOKUP($B41,'County Data'!$B$10:$P$46,2,FALSE)</f>
        <v>1456</v>
      </c>
      <c r="D41" s="15" t="str">
        <f>VLOOKUP($B41,'County Data'!$B$10:$P$46,3,FALSE)</f>
        <v>Extra Small</v>
      </c>
      <c r="E41" s="14">
        <f t="shared" si="1"/>
        <v>43149.193548387091</v>
      </c>
      <c r="F41" s="10">
        <f t="shared" si="0"/>
        <v>29.635435129386739</v>
      </c>
    </row>
    <row r="42" spans="2:8" x14ac:dyDescent="0.25">
      <c r="B42" s="20" t="str">
        <f>+'County Data'!$B$46</f>
        <v>Yamhill</v>
      </c>
      <c r="C42" s="15">
        <f>VLOOKUP($B42,'County Data'!$B$10:$P$46,2,FALSE)</f>
        <v>108261</v>
      </c>
      <c r="D42" s="15" t="str">
        <f>VLOOKUP($B42,'County Data'!$B$10:$P$46,3,FALSE)</f>
        <v>Medium</v>
      </c>
      <c r="E42" s="14">
        <f t="shared" si="1"/>
        <v>86298.387096774182</v>
      </c>
      <c r="F42" s="10">
        <f t="shared" si="0"/>
        <v>0.79713273567373466</v>
      </c>
    </row>
    <row r="43" spans="2:8" x14ac:dyDescent="0.25">
      <c r="B43" s="4" t="s">
        <v>2</v>
      </c>
      <c r="C43" s="5">
        <f t="shared" ref="C43:D43" si="3">SUM(C7:C42)</f>
        <v>3445888</v>
      </c>
      <c r="D43" s="8">
        <f t="shared" si="3"/>
        <v>0</v>
      </c>
      <c r="E43" s="11">
        <f>SUM(E7:E42)</f>
        <v>2545802.4193548388</v>
      </c>
      <c r="F43" s="12">
        <f t="shared" ref="F43" si="4">E43/C43</f>
        <v>0.73879430189107675</v>
      </c>
    </row>
    <row r="44" spans="2:8" x14ac:dyDescent="0.25">
      <c r="E44" s="213">
        <f>E43-C4</f>
        <v>-129447.58064516122</v>
      </c>
      <c r="H44">
        <f>129448/34</f>
        <v>3807.294117647059</v>
      </c>
    </row>
    <row r="45" spans="2:8" x14ac:dyDescent="0.25">
      <c r="B45" s="59" t="s">
        <v>142</v>
      </c>
      <c r="C45" s="60">
        <f>SUM(C34,C39)</f>
        <v>28489</v>
      </c>
      <c r="D45" s="59"/>
      <c r="E45" s="60">
        <f>SUM(E34,E39)</f>
        <v>107872.98387096773</v>
      </c>
      <c r="F45" s="10">
        <f>E45/C45</f>
        <v>3.7864784257421364</v>
      </c>
    </row>
    <row r="51" spans="13:19" x14ac:dyDescent="0.25">
      <c r="N51">
        <v>1.6299999999999999E-2</v>
      </c>
    </row>
    <row r="52" spans="13:19" x14ac:dyDescent="0.25">
      <c r="N52" t="s">
        <v>139</v>
      </c>
      <c r="Q52" t="s">
        <v>138</v>
      </c>
    </row>
    <row r="53" spans="13:19" x14ac:dyDescent="0.25">
      <c r="M53" t="s">
        <v>133</v>
      </c>
      <c r="N53">
        <v>9</v>
      </c>
      <c r="O53">
        <v>2</v>
      </c>
      <c r="Q53">
        <v>1</v>
      </c>
      <c r="S53">
        <f>Q53*N53</f>
        <v>9</v>
      </c>
    </row>
    <row r="54" spans="13:19" x14ac:dyDescent="0.25">
      <c r="M54" t="s">
        <v>134</v>
      </c>
      <c r="N54">
        <v>13</v>
      </c>
      <c r="O54">
        <v>1</v>
      </c>
      <c r="Q54">
        <v>1.5</v>
      </c>
      <c r="S54">
        <f>Q54*N54</f>
        <v>19.5</v>
      </c>
    </row>
    <row r="55" spans="13:19" x14ac:dyDescent="0.25">
      <c r="M55" t="s">
        <v>135</v>
      </c>
      <c r="N55">
        <v>7</v>
      </c>
      <c r="Q55">
        <v>2</v>
      </c>
      <c r="S55">
        <f>Q55*N55</f>
        <v>14</v>
      </c>
    </row>
    <row r="56" spans="13:19" x14ac:dyDescent="0.25">
      <c r="M56" t="s">
        <v>136</v>
      </c>
      <c r="N56">
        <v>3</v>
      </c>
      <c r="Q56">
        <v>2.5</v>
      </c>
      <c r="S56">
        <f>Q56*N56</f>
        <v>7.5</v>
      </c>
    </row>
    <row r="57" spans="13:19" x14ac:dyDescent="0.25">
      <c r="M57" t="s">
        <v>137</v>
      </c>
      <c r="N57">
        <v>4</v>
      </c>
      <c r="Q57">
        <v>3</v>
      </c>
      <c r="S57">
        <f>Q57*N57</f>
        <v>12</v>
      </c>
    </row>
    <row r="58" spans="13:19" x14ac:dyDescent="0.25">
      <c r="N58">
        <f>SUM(N53:N57)</f>
        <v>36</v>
      </c>
      <c r="S58">
        <f>SUM(S53:S57)</f>
        <v>62</v>
      </c>
    </row>
    <row r="59" spans="13:19" x14ac:dyDescent="0.25">
      <c r="S59">
        <f>1/62</f>
        <v>1.6129032258064516E-2</v>
      </c>
    </row>
  </sheetData>
  <autoFilter ref="B6:F45" xr:uid="{FB2F58AF-E268-42D2-8061-8AB05606CA26}"/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2"/>
  <sheetViews>
    <sheetView zoomScaleNormal="100" workbookViewId="0">
      <selection activeCell="I27" sqref="I27"/>
    </sheetView>
  </sheetViews>
  <sheetFormatPr defaultRowHeight="15" x14ac:dyDescent="0.25"/>
  <cols>
    <col min="1" max="1" width="9.140625" customWidth="1"/>
    <col min="2" max="2" width="17.42578125" bestFit="1" customWidth="1"/>
    <col min="3" max="3" width="11.85546875" bestFit="1" customWidth="1"/>
    <col min="4" max="5" width="10.5703125" bestFit="1" customWidth="1"/>
    <col min="6" max="6" width="9.7109375" bestFit="1" customWidth="1"/>
    <col min="7" max="7" width="14.140625" customWidth="1"/>
    <col min="8" max="8" width="10" bestFit="1" customWidth="1"/>
    <col min="11" max="11" width="10.5703125" bestFit="1" customWidth="1"/>
  </cols>
  <sheetData>
    <row r="3" spans="2:11" x14ac:dyDescent="0.25">
      <c r="B3" t="s">
        <v>0</v>
      </c>
      <c r="C3" s="1">
        <f>'County Data'!C5</f>
        <v>14500000</v>
      </c>
    </row>
    <row r="4" spans="2:11" x14ac:dyDescent="0.25">
      <c r="B4" t="s">
        <v>41</v>
      </c>
      <c r="C4" s="14">
        <f>'County Data'!E9</f>
        <v>591237.50000000012</v>
      </c>
      <c r="D4" s="9"/>
    </row>
    <row r="5" spans="2:11" x14ac:dyDescent="0.25">
      <c r="B5" s="26"/>
      <c r="C5" s="26"/>
      <c r="D5" s="26"/>
      <c r="E5" s="26"/>
      <c r="F5" s="26"/>
      <c r="G5" s="26"/>
      <c r="H5" s="26"/>
    </row>
    <row r="6" spans="2:11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1" x14ac:dyDescent="0.25">
      <c r="B7" s="20" t="str">
        <f>'County Data'!$B$11</f>
        <v>Benton</v>
      </c>
      <c r="C7" s="15">
        <f>VLOOKUP($B7,'County Data'!$B$10:$L$46,2,FALSE)</f>
        <v>93976</v>
      </c>
      <c r="D7" s="34">
        <f>VLOOKUP(B7,'County Data'!$B$10:$L$46,4,FALSE)</f>
        <v>3.8779284690828197E-2</v>
      </c>
      <c r="E7" s="31">
        <f t="shared" ref="E7:E41" si="0">C7*D7</f>
        <v>3644.3220581052706</v>
      </c>
      <c r="F7" s="6">
        <f t="shared" ref="F7:F41" si="1">E7/$E$42</f>
        <v>1.6116017612854458E-2</v>
      </c>
      <c r="G7" s="14">
        <f>$C$4*F7</f>
        <v>9528.3939633800401</v>
      </c>
      <c r="H7" s="10">
        <f t="shared" ref="H7:H41" si="2">G7/C7</f>
        <v>0.10139178049055121</v>
      </c>
      <c r="I7" s="22"/>
      <c r="K7" s="32"/>
    </row>
    <row r="8" spans="2:11" x14ac:dyDescent="0.25">
      <c r="B8" s="20" t="s">
        <v>89</v>
      </c>
      <c r="C8" s="15">
        <v>2039</v>
      </c>
      <c r="D8" s="34">
        <f>VLOOKUP(B8,'County Data'!$B$10:$L$46,4,FALSE)</f>
        <v>7.2273166023166024E-2</v>
      </c>
      <c r="E8" s="31">
        <f t="shared" si="0"/>
        <v>147.36498552123552</v>
      </c>
      <c r="F8" s="6">
        <f t="shared" si="1"/>
        <v>6.5168134547719805E-4</v>
      </c>
      <c r="G8" s="14">
        <f t="shared" ref="G8:G41" si="3">$C$4*F8</f>
        <v>385.29844949657496</v>
      </c>
      <c r="H8" s="10">
        <f t="shared" si="2"/>
        <v>0.18896441858586316</v>
      </c>
      <c r="I8" s="22"/>
      <c r="K8" s="32"/>
    </row>
    <row r="9" spans="2:11" x14ac:dyDescent="0.25">
      <c r="B9" s="20" t="str">
        <f>'County Data'!$B$44</f>
        <v>Washington</v>
      </c>
      <c r="C9" s="15">
        <f>VLOOKUP($B9,'County Data'!$B$10:$L$46,2,FALSE)</f>
        <v>605036</v>
      </c>
      <c r="D9" s="34">
        <f>VLOOKUP(B9,'County Data'!$B$10:$L$46,4,FALSE)</f>
        <v>4.3166723992758137E-2</v>
      </c>
      <c r="E9" s="31">
        <f t="shared" si="0"/>
        <v>26117.422017682413</v>
      </c>
      <c r="F9" s="6">
        <f t="shared" si="1"/>
        <v>0.11549715599453866</v>
      </c>
      <c r="G9" s="14">
        <f t="shared" si="3"/>
        <v>68286.24976732106</v>
      </c>
      <c r="H9" s="10">
        <f t="shared" si="2"/>
        <v>0.112863118504223</v>
      </c>
      <c r="I9" s="22"/>
    </row>
    <row r="10" spans="2:11" x14ac:dyDescent="0.25">
      <c r="B10" s="20" t="str">
        <f>'County Data'!$B$23</f>
        <v>Hood River</v>
      </c>
      <c r="C10" s="15">
        <f>VLOOKUP($B10,'County Data'!$B$10:$L$46,2,FALSE)</f>
        <v>23888</v>
      </c>
      <c r="D10" s="34">
        <f>VLOOKUP(B10,'County Data'!$B$10:$L$46,4,FALSE)</f>
        <v>4.5889768989028357E-2</v>
      </c>
      <c r="E10" s="31">
        <f t="shared" si="0"/>
        <v>1096.2148016099093</v>
      </c>
      <c r="F10" s="6">
        <f t="shared" si="1"/>
        <v>4.8477101552880193E-3</v>
      </c>
      <c r="G10" s="14">
        <f t="shared" si="3"/>
        <v>2866.1480329371007</v>
      </c>
      <c r="H10" s="10">
        <f t="shared" si="2"/>
        <v>0.11998275422543121</v>
      </c>
      <c r="I10" s="22"/>
    </row>
    <row r="11" spans="2:11" x14ac:dyDescent="0.25">
      <c r="B11" s="20" t="str">
        <f>'County Data'!$B$12</f>
        <v>Clackamas</v>
      </c>
      <c r="C11" s="15">
        <f>VLOOKUP($B11,'County Data'!$B$10:$L$46,2,FALSE)</f>
        <v>425316</v>
      </c>
      <c r="D11" s="34">
        <f>VLOOKUP(B11,'County Data'!$B$10:$L$46,4,FALSE)</f>
        <v>5.6425705308362557E-2</v>
      </c>
      <c r="E11" s="31">
        <f t="shared" si="0"/>
        <v>23998.75527893153</v>
      </c>
      <c r="F11" s="6">
        <f t="shared" si="1"/>
        <v>0.10612793177860033</v>
      </c>
      <c r="G11" s="14">
        <f t="shared" si="3"/>
        <v>62746.813064950227</v>
      </c>
      <c r="H11" s="10">
        <f t="shared" si="2"/>
        <v>0.14752986735733015</v>
      </c>
      <c r="I11" s="22"/>
    </row>
    <row r="12" spans="2:11" x14ac:dyDescent="0.25">
      <c r="B12" s="20" t="str">
        <f>'County Data'!$B$37</f>
        <v>Polk</v>
      </c>
      <c r="C12" s="15">
        <f>VLOOKUP($B12,'County Data'!$B$10:$L$46,2,FALSE)</f>
        <v>88916</v>
      </c>
      <c r="D12" s="34">
        <f>VLOOKUP(B12,'County Data'!$B$10:$L$46,4,FALSE)</f>
        <v>6.0001019991840064E-2</v>
      </c>
      <c r="E12" s="31">
        <f t="shared" si="0"/>
        <v>5335.0506935944513</v>
      </c>
      <c r="F12" s="6">
        <f t="shared" si="1"/>
        <v>2.3592802604318005E-2</v>
      </c>
      <c r="G12" s="14">
        <f t="shared" si="3"/>
        <v>13948.94962977047</v>
      </c>
      <c r="H12" s="10">
        <f t="shared" si="2"/>
        <v>0.1568778355950613</v>
      </c>
      <c r="I12" s="22"/>
    </row>
    <row r="13" spans="2:11" x14ac:dyDescent="0.25">
      <c r="B13" s="20" t="str">
        <f>'County Data'!$B$18</f>
        <v>Deschutes</v>
      </c>
      <c r="C13" s="15">
        <f>VLOOKUP($B13,'County Data'!$B$10:$L$46,2,FALSE)</f>
        <v>203390</v>
      </c>
      <c r="D13" s="34">
        <f>VLOOKUP(B13,'County Data'!$B$10:$L$46,4,FALSE)</f>
        <v>5.2550475049370743E-2</v>
      </c>
      <c r="E13" s="31">
        <f t="shared" si="0"/>
        <v>10688.241120291515</v>
      </c>
      <c r="F13" s="6">
        <f t="shared" si="1"/>
        <v>4.7265823217229407E-2</v>
      </c>
      <c r="G13" s="14">
        <f t="shared" si="3"/>
        <v>27945.327154396677</v>
      </c>
      <c r="H13" s="10">
        <f t="shared" si="2"/>
        <v>0.137397744010997</v>
      </c>
      <c r="I13" s="22"/>
    </row>
    <row r="14" spans="2:11" x14ac:dyDescent="0.25">
      <c r="B14" s="20" t="str">
        <f>'County Data'!$B$46</f>
        <v>Yamhill</v>
      </c>
      <c r="C14" s="15">
        <f>VLOOKUP($B14,'County Data'!$B$10:$L$46,2,FALSE)</f>
        <v>108261</v>
      </c>
      <c r="D14" s="34">
        <f>VLOOKUP(B14,'County Data'!$B$10:$L$46,4,FALSE)</f>
        <v>6.1550429794770968E-2</v>
      </c>
      <c r="E14" s="31">
        <f t="shared" si="0"/>
        <v>6663.5110800117</v>
      </c>
      <c r="F14" s="6">
        <f t="shared" si="1"/>
        <v>2.9467555341349948E-2</v>
      </c>
      <c r="G14" s="14">
        <f t="shared" si="3"/>
        <v>17422.323751131393</v>
      </c>
      <c r="H14" s="10">
        <f t="shared" si="2"/>
        <v>0.16092890099972651</v>
      </c>
      <c r="I14" s="22"/>
    </row>
    <row r="15" spans="2:11" x14ac:dyDescent="0.25">
      <c r="B15" s="20" t="str">
        <f>'County Data'!$B$21</f>
        <v>Grant</v>
      </c>
      <c r="C15" s="15">
        <f>VLOOKUP($B15,'County Data'!$B$10:$L$46,2,FALSE)</f>
        <v>7226</v>
      </c>
      <c r="D15" s="34">
        <f>VLOOKUP(B15,'County Data'!$B$10:$L$46,4,FALSE)</f>
        <v>8.7322852438906279E-2</v>
      </c>
      <c r="E15" s="31">
        <f t="shared" si="0"/>
        <v>630.99493172353675</v>
      </c>
      <c r="F15" s="6">
        <f t="shared" si="1"/>
        <v>2.7904025141415392E-3</v>
      </c>
      <c r="G15" s="14">
        <f t="shared" si="3"/>
        <v>1649.7906064547585</v>
      </c>
      <c r="H15" s="10">
        <f t="shared" si="2"/>
        <v>0.22831312018471608</v>
      </c>
      <c r="I15" s="22"/>
    </row>
    <row r="16" spans="2:11" x14ac:dyDescent="0.25">
      <c r="B16" s="20" t="str">
        <f>'County Data'!$B$34</f>
        <v>Morrow</v>
      </c>
      <c r="C16" s="15">
        <f>VLOOKUP($B16,'County Data'!$B$10:$L$46,2,FALSE)</f>
        <v>12635</v>
      </c>
      <c r="D16" s="34">
        <f>VLOOKUP(B16,'County Data'!$B$10:$L$46,4,FALSE)</f>
        <v>6.6695320675736289E-2</v>
      </c>
      <c r="E16" s="31">
        <f t="shared" si="0"/>
        <v>842.69537673792797</v>
      </c>
      <c r="F16" s="6">
        <f t="shared" si="1"/>
        <v>3.7265898340610301E-3</v>
      </c>
      <c r="G16" s="14">
        <f t="shared" si="3"/>
        <v>2203.2996570156588</v>
      </c>
      <c r="H16" s="10">
        <f t="shared" si="2"/>
        <v>0.17438066141793895</v>
      </c>
      <c r="I16" s="22"/>
    </row>
    <row r="17" spans="2:9" x14ac:dyDescent="0.25">
      <c r="B17" s="20" t="str">
        <f>'County Data'!$B$45</f>
        <v>Wheeler</v>
      </c>
      <c r="C17" s="15">
        <f>VLOOKUP($B17,'County Data'!$B$10:$L$46,2,FALSE)</f>
        <v>1456</v>
      </c>
      <c r="D17" s="34">
        <f>VLOOKUP(B17,'County Data'!$B$10:$L$46,4,FALSE)</f>
        <v>4.9376114081996436E-2</v>
      </c>
      <c r="E17" s="31">
        <f t="shared" si="0"/>
        <v>71.891622103386808</v>
      </c>
      <c r="F17" s="6">
        <f t="shared" si="1"/>
        <v>3.1792103704391951E-4</v>
      </c>
      <c r="G17" s="14">
        <f t="shared" si="3"/>
        <v>187.9668391392544</v>
      </c>
      <c r="H17" s="10">
        <f t="shared" si="2"/>
        <v>0.12909810380443296</v>
      </c>
      <c r="I17" s="22"/>
    </row>
    <row r="18" spans="2:9" x14ac:dyDescent="0.25">
      <c r="B18" s="20" t="str">
        <f>'County Data'!$B$33</f>
        <v>Marion</v>
      </c>
      <c r="C18" s="15">
        <f>VLOOKUP($B18,'County Data'!$B$10:$L$46,2,FALSE)</f>
        <v>347182</v>
      </c>
      <c r="D18" s="34">
        <f>VLOOKUP(B18,'County Data'!$B$10:$L$46,4,FALSE)</f>
        <v>6.4481630638007895E-2</v>
      </c>
      <c r="E18" s="31">
        <f t="shared" si="0"/>
        <v>22386.861488164857</v>
      </c>
      <c r="F18" s="6">
        <f t="shared" si="1"/>
        <v>9.8999772327305183E-2</v>
      </c>
      <c r="G18" s="14">
        <f t="shared" si="3"/>
        <v>58532.377891365111</v>
      </c>
      <c r="H18" s="10">
        <f t="shared" si="2"/>
        <v>0.16859277811454831</v>
      </c>
      <c r="I18" s="22"/>
    </row>
    <row r="19" spans="2:9" x14ac:dyDescent="0.25">
      <c r="B19" s="20" t="str">
        <f>'County Data'!$B$35</f>
        <v>Multnomah</v>
      </c>
      <c r="C19" s="15">
        <f>VLOOKUP($B19,'County Data'!$B$10:$L$46,2,FALSE)</f>
        <v>0</v>
      </c>
      <c r="D19" s="34">
        <f>VLOOKUP(B19,'County Data'!$B$10:$L$46,4,FALSE)</f>
        <v>6.370371101635075E-2</v>
      </c>
      <c r="E19" s="31">
        <f t="shared" si="0"/>
        <v>0</v>
      </c>
      <c r="F19" s="6">
        <f t="shared" si="1"/>
        <v>0</v>
      </c>
      <c r="G19" s="14">
        <f t="shared" si="3"/>
        <v>0</v>
      </c>
      <c r="H19" s="10" t="e">
        <f t="shared" si="2"/>
        <v>#DIV/0!</v>
      </c>
      <c r="I19" s="22"/>
    </row>
    <row r="20" spans="2:9" x14ac:dyDescent="0.25">
      <c r="B20" s="20" t="str">
        <f>'County Data'!$B$29</f>
        <v>Lane</v>
      </c>
      <c r="C20" s="15">
        <f>VLOOKUP($B20,'County Data'!$B$10:$L$46,2,FALSE)</f>
        <v>382647</v>
      </c>
      <c r="D20" s="34">
        <f>VLOOKUP(B20,'County Data'!$B$10:$L$46,4,FALSE)</f>
        <v>6.9776981788889539E-2</v>
      </c>
      <c r="E20" s="31">
        <f t="shared" si="0"/>
        <v>26699.952750573215</v>
      </c>
      <c r="F20" s="6">
        <f t="shared" si="1"/>
        <v>0.11807323884386241</v>
      </c>
      <c r="G20" s="14">
        <f t="shared" si="3"/>
        <v>69809.326550948113</v>
      </c>
      <c r="H20" s="10">
        <f t="shared" si="2"/>
        <v>0.18243792986995355</v>
      </c>
      <c r="I20" s="22"/>
    </row>
    <row r="21" spans="2:9" x14ac:dyDescent="0.25">
      <c r="B21" s="20" t="str">
        <f>'County Data'!$B$41</f>
        <v>Union</v>
      </c>
      <c r="C21" s="15">
        <f>VLOOKUP($B21,'County Data'!$B$10:$L$46,2,FALSE)</f>
        <v>26295</v>
      </c>
      <c r="D21" s="34">
        <f>VLOOKUP(B21,'County Data'!$B$10:$L$46,4,FALSE)</f>
        <v>8.0908592958985504E-2</v>
      </c>
      <c r="E21" s="31">
        <f t="shared" si="0"/>
        <v>2127.4914518565238</v>
      </c>
      <c r="F21" s="6">
        <f t="shared" si="1"/>
        <v>9.4082490961688303E-3</v>
      </c>
      <c r="G21" s="14">
        <f t="shared" si="3"/>
        <v>5562.5096749961203</v>
      </c>
      <c r="H21" s="10">
        <f t="shared" si="2"/>
        <v>0.2115424862139616</v>
      </c>
      <c r="I21" s="22"/>
    </row>
    <row r="22" spans="2:9" x14ac:dyDescent="0.25">
      <c r="B22" s="20" t="str">
        <f>'County Data'!$B$32</f>
        <v>Malheur</v>
      </c>
      <c r="C22" s="15">
        <f>VLOOKUP($B22,'County Data'!$B$10:$L$46,2,FALSE)</f>
        <v>31995</v>
      </c>
      <c r="D22" s="34">
        <f>VLOOKUP(B22,'County Data'!$B$10:$L$46,4,FALSE)</f>
        <v>7.9387883013260663E-2</v>
      </c>
      <c r="E22" s="31">
        <f t="shared" si="0"/>
        <v>2540.0153170092749</v>
      </c>
      <c r="F22" s="6">
        <f t="shared" si="1"/>
        <v>1.1232523068261472E-2</v>
      </c>
      <c r="G22" s="14">
        <f t="shared" si="3"/>
        <v>6641.0888575712434</v>
      </c>
      <c r="H22" s="10">
        <f t="shared" si="2"/>
        <v>0.20756645905832921</v>
      </c>
      <c r="I22" s="22"/>
    </row>
    <row r="23" spans="2:9" x14ac:dyDescent="0.25">
      <c r="B23" s="20" t="str">
        <f>'County Data'!$B$31</f>
        <v>Linn</v>
      </c>
      <c r="C23" s="15">
        <f>VLOOKUP($B23,'County Data'!$B$10:$L$46,2,FALSE)</f>
        <v>130440</v>
      </c>
      <c r="D23" s="34">
        <f>VLOOKUP(B23,'County Data'!$B$10:$L$46,4,FALSE)</f>
        <v>7.6651250070114071E-2</v>
      </c>
      <c r="E23" s="31">
        <f t="shared" si="0"/>
        <v>9998.3890591456802</v>
      </c>
      <c r="F23" s="6">
        <f t="shared" si="1"/>
        <v>4.4215141145110222E-2</v>
      </c>
      <c r="G23" s="14">
        <f t="shared" si="3"/>
        <v>26141.649512782111</v>
      </c>
      <c r="H23" s="10">
        <f t="shared" si="2"/>
        <v>0.20041129647947034</v>
      </c>
      <c r="I23" s="22"/>
    </row>
    <row r="24" spans="2:9" x14ac:dyDescent="0.25">
      <c r="B24" s="20" t="str">
        <f>'County Data'!$B$40</f>
        <v>Umatilla</v>
      </c>
      <c r="C24" s="15">
        <f>VLOOKUP($B24,'County Data'!$B$10:$L$46,2,FALSE)</f>
        <v>80463</v>
      </c>
      <c r="D24" s="34">
        <f>VLOOKUP(B24,'County Data'!$B$10:$L$46,4,FALSE)</f>
        <v>7.7759060872355318E-2</v>
      </c>
      <c r="E24" s="31">
        <f t="shared" si="0"/>
        <v>6256.727314972326</v>
      </c>
      <c r="F24" s="6">
        <f t="shared" si="1"/>
        <v>2.7668665392143261E-2</v>
      </c>
      <c r="G24" s="14">
        <f t="shared" si="3"/>
        <v>16358.752554787305</v>
      </c>
      <c r="H24" s="10">
        <f t="shared" si="2"/>
        <v>0.20330776325500297</v>
      </c>
      <c r="I24" s="22"/>
    </row>
    <row r="25" spans="2:9" x14ac:dyDescent="0.25">
      <c r="B25" s="20" t="str">
        <f>'County Data'!$B$24</f>
        <v>Jackson</v>
      </c>
      <c r="C25" s="15">
        <f>VLOOKUP($B25,'County Data'!$B$10:$L$46,2,FALSE)</f>
        <v>223827</v>
      </c>
      <c r="D25" s="34">
        <f>VLOOKUP(B25,'County Data'!$B$10:$L$46,4,FALSE)</f>
        <v>7.4653579908639106E-2</v>
      </c>
      <c r="E25" s="31">
        <f t="shared" si="0"/>
        <v>16709.486830210964</v>
      </c>
      <c r="F25" s="6">
        <f t="shared" si="1"/>
        <v>7.3893135613115113E-2</v>
      </c>
      <c r="G25" s="14">
        <f t="shared" si="3"/>
        <v>43688.392767059158</v>
      </c>
      <c r="H25" s="10">
        <f t="shared" si="2"/>
        <v>0.19518821575171519</v>
      </c>
      <c r="I25" s="22"/>
    </row>
    <row r="26" spans="2:9" x14ac:dyDescent="0.25">
      <c r="B26" s="20" t="str">
        <f>'County Data'!$B$16</f>
        <v>Crook</v>
      </c>
      <c r="C26" s="15">
        <f>VLOOKUP($B26,'County Data'!$B$10:$L$46,2,FALSE)</f>
        <v>25482</v>
      </c>
      <c r="D26" s="34">
        <f>VLOOKUP(B26,'County Data'!$B$10:$L$46,4,FALSE)</f>
        <v>7.877091335199532E-2</v>
      </c>
      <c r="E26" s="31">
        <f t="shared" si="0"/>
        <v>2007.2404140355447</v>
      </c>
      <c r="F26" s="6">
        <f t="shared" si="1"/>
        <v>8.8764717689765946E-3</v>
      </c>
      <c r="G26" s="14">
        <f t="shared" si="3"/>
        <v>5248.1029775103007</v>
      </c>
      <c r="H26" s="10">
        <f t="shared" si="2"/>
        <v>0.20595333872970334</v>
      </c>
      <c r="I26" s="22"/>
    </row>
    <row r="27" spans="2:9" x14ac:dyDescent="0.25">
      <c r="B27" s="20" t="str">
        <f>'County Data'!$B$14</f>
        <v>Columbia</v>
      </c>
      <c r="C27" s="15">
        <f>VLOOKUP($B27,'County Data'!$B$10:$L$46,2,FALSE)</f>
        <v>53014</v>
      </c>
      <c r="D27" s="34">
        <f>VLOOKUP(B27,'County Data'!$B$10:$L$46,4,FALSE)</f>
        <v>7.1987726357316831E-2</v>
      </c>
      <c r="E27" s="31">
        <f t="shared" si="0"/>
        <v>3816.3573251067946</v>
      </c>
      <c r="F27" s="6">
        <f t="shared" si="1"/>
        <v>1.6876796531079419E-2</v>
      </c>
      <c r="G27" s="14">
        <f t="shared" si="3"/>
        <v>9978.1949890440701</v>
      </c>
      <c r="H27" s="10">
        <f t="shared" si="2"/>
        <v>0.18821811199011715</v>
      </c>
      <c r="I27" s="22"/>
    </row>
    <row r="28" spans="2:9" x14ac:dyDescent="0.25">
      <c r="B28" s="20" t="str">
        <f>'County Data'!$B$42</f>
        <v>Wallowa</v>
      </c>
      <c r="C28" s="15">
        <f>VLOOKUP($B28,'County Data'!$B$10:$L$46,2,FALSE)</f>
        <v>7433</v>
      </c>
      <c r="D28" s="34">
        <f>VLOOKUP(B28,'County Data'!$B$10:$L$46,4,FALSE)</f>
        <v>5.901039661147478E-2</v>
      </c>
      <c r="E28" s="31">
        <f t="shared" si="0"/>
        <v>438.62427801309207</v>
      </c>
      <c r="F28" s="6">
        <f t="shared" si="1"/>
        <v>1.939695909740689E-3</v>
      </c>
      <c r="G28" s="14">
        <f t="shared" si="3"/>
        <v>1146.8209604353108</v>
      </c>
      <c r="H28" s="10">
        <f t="shared" si="2"/>
        <v>0.15428776542920905</v>
      </c>
      <c r="I28" s="22"/>
    </row>
    <row r="29" spans="2:9" x14ac:dyDescent="0.25">
      <c r="B29" s="20" t="str">
        <f>'County Data'!$B$39</f>
        <v>Tillamook</v>
      </c>
      <c r="C29" s="15">
        <f>VLOOKUP($B29,'County Data'!$B$10:$L$46,2,FALSE)</f>
        <v>27628</v>
      </c>
      <c r="D29" s="34">
        <f>VLOOKUP(B29,'County Data'!$B$10:$L$46,4,FALSE)</f>
        <v>8.3063155457041724E-2</v>
      </c>
      <c r="E29" s="31">
        <f t="shared" si="0"/>
        <v>2294.8688589671488</v>
      </c>
      <c r="F29" s="6">
        <f t="shared" si="1"/>
        <v>1.0148429902908832E-2</v>
      </c>
      <c r="G29" s="14">
        <f t="shared" si="3"/>
        <v>6000.1323247210612</v>
      </c>
      <c r="H29" s="10">
        <f t="shared" si="2"/>
        <v>0.21717577547129946</v>
      </c>
      <c r="I29" s="22"/>
    </row>
    <row r="30" spans="2:9" x14ac:dyDescent="0.25">
      <c r="B30" s="20" t="str">
        <f>'County Data'!$B$28</f>
        <v>Lake</v>
      </c>
      <c r="C30" s="15">
        <f>VLOOKUP($B30,'County Data'!$B$10:$L$46,2,FALSE)</f>
        <v>8177</v>
      </c>
      <c r="D30" s="34">
        <f>VLOOKUP(B30,'County Data'!$B$10:$L$46,4,FALSE)</f>
        <v>9.4658686691886401E-2</v>
      </c>
      <c r="E30" s="31">
        <f t="shared" si="0"/>
        <v>774.02408107955512</v>
      </c>
      <c r="F30" s="6">
        <f t="shared" si="1"/>
        <v>3.4229098099900334E-3</v>
      </c>
      <c r="G30" s="14">
        <f t="shared" si="3"/>
        <v>2023.7526387839828</v>
      </c>
      <c r="H30" s="10">
        <f t="shared" si="2"/>
        <v>0.24749329078928492</v>
      </c>
      <c r="I30" s="22"/>
    </row>
    <row r="31" spans="2:9" x14ac:dyDescent="0.25">
      <c r="B31" s="20" t="str">
        <f>'County Data'!$B$36</f>
        <v>Sherman, Wasco</v>
      </c>
      <c r="C31" s="15">
        <f>VLOOKUP($B31,'County Data'!$B$10:$L$46,2,FALSE)</f>
        <v>28489</v>
      </c>
      <c r="D31" s="34">
        <f>VLOOKUP(B31,'County Data'!$B$10:$L$46,4,FALSE)</f>
        <v>8.1349469884601261E-2</v>
      </c>
      <c r="E31" s="31">
        <f t="shared" si="0"/>
        <v>2317.5650475424054</v>
      </c>
      <c r="F31" s="6">
        <f t="shared" si="1"/>
        <v>1.024879758968064E-2</v>
      </c>
      <c r="G31" s="14">
        <f t="shared" si="3"/>
        <v>6059.4734649288084</v>
      </c>
      <c r="H31" s="10">
        <f t="shared" si="2"/>
        <v>0.21269519691560984</v>
      </c>
      <c r="I31" s="22"/>
    </row>
    <row r="32" spans="2:9" x14ac:dyDescent="0.25">
      <c r="B32" s="20" t="str">
        <f>'County Data'!$B$10</f>
        <v>Baker</v>
      </c>
      <c r="C32" s="15">
        <f>VLOOKUP($B32,'County Data'!$B$10:$L$46,2,FALSE)</f>
        <v>16860</v>
      </c>
      <c r="D32" s="34">
        <f>VLOOKUP(B32,'County Data'!$B$10:$L$46,4,FALSE)</f>
        <v>8.8519260681305445E-2</v>
      </c>
      <c r="E32" s="31">
        <f t="shared" si="0"/>
        <v>1492.4347350868097</v>
      </c>
      <c r="F32" s="6">
        <f t="shared" si="1"/>
        <v>6.5998844485220384E-3</v>
      </c>
      <c r="G32" s="14">
        <f t="shared" si="3"/>
        <v>3902.0991816330493</v>
      </c>
      <c r="H32" s="10">
        <f t="shared" si="2"/>
        <v>0.23144123259982499</v>
      </c>
      <c r="I32" s="22"/>
    </row>
    <row r="33" spans="2:9" x14ac:dyDescent="0.25">
      <c r="B33" s="20" t="str">
        <f>'County Data'!$B$13</f>
        <v>Clatsop</v>
      </c>
      <c r="C33" s="15">
        <f>VLOOKUP($B33,'County Data'!$B$10:$L$46,2,FALSE)</f>
        <v>41428</v>
      </c>
      <c r="D33" s="34">
        <f>VLOOKUP(B33,'County Data'!$B$10:$L$46,4,FALSE)</f>
        <v>8.1033943761620347E-2</v>
      </c>
      <c r="E33" s="31">
        <f t="shared" si="0"/>
        <v>3357.0742221564078</v>
      </c>
      <c r="F33" s="6">
        <f t="shared" si="1"/>
        <v>1.4845742618055283E-2</v>
      </c>
      <c r="G33" s="14">
        <f t="shared" si="3"/>
        <v>8777.3597511424614</v>
      </c>
      <c r="H33" s="10">
        <f t="shared" si="2"/>
        <v>0.21187022668587577</v>
      </c>
      <c r="I33" s="22"/>
    </row>
    <row r="34" spans="2:9" x14ac:dyDescent="0.25">
      <c r="B34" s="20" t="str">
        <f>'County Data'!$B$26</f>
        <v>Josephine</v>
      </c>
      <c r="C34" s="15">
        <f>VLOOKUP($B34,'County Data'!$B$10:$L$46,2,FALSE)</f>
        <v>88728</v>
      </c>
      <c r="D34" s="34">
        <f>VLOOKUP(B34,'County Data'!$B$10:$L$46,4,FALSE)</f>
        <v>9.8660431157608169E-2</v>
      </c>
      <c r="E34" s="31">
        <f t="shared" si="0"/>
        <v>8753.9427357522582</v>
      </c>
      <c r="F34" s="6">
        <f t="shared" si="1"/>
        <v>3.871191762471491E-2</v>
      </c>
      <c r="G34" s="14">
        <f t="shared" si="3"/>
        <v>22887.937396642385</v>
      </c>
      <c r="H34" s="10">
        <f t="shared" si="2"/>
        <v>0.25795619642776108</v>
      </c>
      <c r="I34" s="22"/>
    </row>
    <row r="35" spans="2:9" x14ac:dyDescent="0.25">
      <c r="B35" s="20" t="str">
        <f>'County Data'!$B$19</f>
        <v>Douglas</v>
      </c>
      <c r="C35" s="15">
        <f>VLOOKUP($B35,'County Data'!$B$10:$L$46,2,FALSE)</f>
        <v>111694</v>
      </c>
      <c r="D35" s="34">
        <f>VLOOKUP(B35,'County Data'!$B$10:$L$46,4,FALSE)</f>
        <v>9.9191420929058777E-2</v>
      </c>
      <c r="E35" s="31">
        <f t="shared" si="0"/>
        <v>11079.08656925029</v>
      </c>
      <c r="F35" s="6">
        <f t="shared" si="1"/>
        <v>4.8994230322554913E-2</v>
      </c>
      <c r="G35" s="14">
        <f t="shared" si="3"/>
        <v>28967.226250331565</v>
      </c>
      <c r="H35" s="10">
        <f t="shared" si="2"/>
        <v>0.25934451492767352</v>
      </c>
      <c r="I35" s="22"/>
    </row>
    <row r="36" spans="2:9" x14ac:dyDescent="0.25">
      <c r="B36" s="20" t="str">
        <f>'County Data'!$B$27</f>
        <v>Klamath</v>
      </c>
      <c r="C36" s="15">
        <f>VLOOKUP($B36,'County Data'!$B$10:$L$46,2,FALSE)</f>
        <v>69822</v>
      </c>
      <c r="D36" s="34">
        <f>VLOOKUP(B36,'County Data'!$B$10:$L$46,4,FALSE)</f>
        <v>0.10338869960707459</v>
      </c>
      <c r="E36" s="31">
        <f t="shared" si="0"/>
        <v>7218.8057839651619</v>
      </c>
      <c r="F36" s="6">
        <f t="shared" si="1"/>
        <v>3.1923194301505836E-2</v>
      </c>
      <c r="G36" s="14">
        <f t="shared" si="3"/>
        <v>18874.189590836562</v>
      </c>
      <c r="H36" s="10">
        <f t="shared" si="2"/>
        <v>0.27031866160861279</v>
      </c>
      <c r="I36" s="22"/>
    </row>
    <row r="37" spans="2:9" x14ac:dyDescent="0.25">
      <c r="B37" s="20" t="str">
        <f>'County Data'!$B$15</f>
        <v>Coos</v>
      </c>
      <c r="C37" s="15">
        <f>VLOOKUP($B37,'County Data'!$B$10:$L$46,2,FALSE)</f>
        <v>65154</v>
      </c>
      <c r="D37" s="34">
        <f>VLOOKUP(B37,'County Data'!$B$10:$L$46,4,FALSE)</f>
        <v>9.5215980949122009E-2</v>
      </c>
      <c r="E37" s="31">
        <f t="shared" si="0"/>
        <v>6203.7020227590956</v>
      </c>
      <c r="F37" s="6">
        <f t="shared" si="1"/>
        <v>2.7434175539268E-2</v>
      </c>
      <c r="G37" s="14">
        <f t="shared" si="3"/>
        <v>16220.113360397967</v>
      </c>
      <c r="H37" s="10">
        <f t="shared" si="2"/>
        <v>0.24895038463329905</v>
      </c>
      <c r="I37" s="22"/>
    </row>
    <row r="38" spans="2:9" x14ac:dyDescent="0.25">
      <c r="B38" s="20" t="str">
        <f>'County Data'!$B$30</f>
        <v>Lincoln</v>
      </c>
      <c r="C38" s="15">
        <f>VLOOKUP($B38,'County Data'!$B$10:$L$46,2,FALSE)</f>
        <v>50903</v>
      </c>
      <c r="D38" s="34">
        <f>VLOOKUP(B38,'County Data'!$B$10:$L$46,4,FALSE)</f>
        <v>9.6459537572254339E-2</v>
      </c>
      <c r="E38" s="31">
        <f t="shared" si="0"/>
        <v>4910.0798410404623</v>
      </c>
      <c r="F38" s="6">
        <f t="shared" si="1"/>
        <v>2.1713485234581845E-2</v>
      </c>
      <c r="G38" s="14">
        <f t="shared" si="3"/>
        <v>12837.826726381087</v>
      </c>
      <c r="H38" s="10">
        <f t="shared" si="2"/>
        <v>0.25220177055146231</v>
      </c>
      <c r="I38" s="22"/>
    </row>
    <row r="39" spans="2:9" x14ac:dyDescent="0.25">
      <c r="B39" s="20" t="str">
        <f>'County Data'!$B$25</f>
        <v>Jefferson</v>
      </c>
      <c r="C39" s="15">
        <f>VLOOKUP($B39,'County Data'!$B$10:$L$46,2,FALSE)</f>
        <v>24889</v>
      </c>
      <c r="D39" s="34">
        <f>VLOOKUP(B39,'County Data'!$B$10:$L$46,4,FALSE)</f>
        <v>9.9014703108580251E-2</v>
      </c>
      <c r="E39" s="31">
        <f t="shared" si="0"/>
        <v>2464.376945669454</v>
      </c>
      <c r="F39" s="6">
        <f t="shared" si="1"/>
        <v>1.0898033057421446E-2</v>
      </c>
      <c r="G39" s="14">
        <f t="shared" si="3"/>
        <v>6443.3258197872137</v>
      </c>
      <c r="H39" s="10">
        <f t="shared" si="2"/>
        <v>0.25888247096256234</v>
      </c>
      <c r="I39" s="22"/>
    </row>
    <row r="40" spans="2:9" x14ac:dyDescent="0.25">
      <c r="B40" s="20" t="str">
        <f>'County Data'!$B$22</f>
        <v>Harney</v>
      </c>
      <c r="C40" s="15">
        <f>VLOOKUP($B40,'County Data'!$B$10:$L$46,2,FALSE)</f>
        <v>7537</v>
      </c>
      <c r="D40" s="34">
        <f>VLOOKUP(B40,'County Data'!$B$10:$L$46,4,FALSE)</f>
        <v>8.9063024057078388E-2</v>
      </c>
      <c r="E40" s="31">
        <f t="shared" si="0"/>
        <v>671.26801231819979</v>
      </c>
      <c r="F40" s="6">
        <f t="shared" si="1"/>
        <v>2.968499198748207E-3</v>
      </c>
      <c r="G40" s="14">
        <f t="shared" si="3"/>
        <v>1755.0880450198933</v>
      </c>
      <c r="H40" s="10">
        <f t="shared" si="2"/>
        <v>0.23286294878862854</v>
      </c>
      <c r="I40" s="22"/>
    </row>
    <row r="41" spans="2:9" x14ac:dyDescent="0.25">
      <c r="B41" s="20" t="str">
        <f>'County Data'!$B$17</f>
        <v>Curry</v>
      </c>
      <c r="C41" s="15">
        <f>VLOOKUP($B41,'County Data'!$B$10:$L$46,2,FALSE)</f>
        <v>23662</v>
      </c>
      <c r="D41" s="34">
        <f>VLOOKUP(B41,'County Data'!$B$10:$L$46,4,FALSE)</f>
        <v>0.10039705048213272</v>
      </c>
      <c r="E41" s="31">
        <f t="shared" si="0"/>
        <v>2375.5950085082245</v>
      </c>
      <c r="F41" s="6">
        <f t="shared" si="1"/>
        <v>1.0505419221382595E-2</v>
      </c>
      <c r="G41" s="14">
        <f t="shared" si="3"/>
        <v>6211.1977969021927</v>
      </c>
      <c r="H41" s="10">
        <f t="shared" si="2"/>
        <v>0.26249673725391737</v>
      </c>
      <c r="I41" s="22"/>
    </row>
    <row r="42" spans="2:9" x14ac:dyDescent="0.25">
      <c r="B42" s="4" t="s">
        <v>2</v>
      </c>
      <c r="C42" s="5">
        <f>SUM(C6:C41)</f>
        <v>3445888</v>
      </c>
      <c r="D42" s="5">
        <f>SUM(D6:D41)</f>
        <v>2.6411379519635183</v>
      </c>
      <c r="E42" s="5">
        <f>SUM(E6:E41)</f>
        <v>226130.43405949656</v>
      </c>
      <c r="F42" s="8">
        <f>SUM(F6:F41)</f>
        <v>1.0000000000000002</v>
      </c>
      <c r="G42" s="11">
        <f>SUM(G6:G41)</f>
        <v>591237.50000000035</v>
      </c>
      <c r="H42" s="12">
        <f t="shared" ref="H42" si="4">G42/C42</f>
        <v>0.17157768911816065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2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12" x14ac:dyDescent="0.25">
      <c r="B3" t="s">
        <v>0</v>
      </c>
      <c r="C3" s="1">
        <f>'County Data'!C5</f>
        <v>14500000</v>
      </c>
    </row>
    <row r="4" spans="2:12" x14ac:dyDescent="0.25">
      <c r="B4" t="s">
        <v>41</v>
      </c>
      <c r="C4" s="14">
        <f>'County Data'!F9</f>
        <v>591237.50000000012</v>
      </c>
      <c r="D4" s="9"/>
    </row>
    <row r="6" spans="2:12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2" x14ac:dyDescent="0.25">
      <c r="B7" s="20" t="str">
        <f>+'County Data'!$B$18</f>
        <v>Deschutes</v>
      </c>
      <c r="C7" s="15">
        <f>VLOOKUP($B7,'County Data'!$B$10:$L$46,2,FALSE)</f>
        <v>203390</v>
      </c>
      <c r="D7" s="29">
        <f>VLOOKUP($B7,'County Data'!$B$10:$L$46,5,FALSE)</f>
        <v>0.13699999999999998</v>
      </c>
      <c r="E7" s="31">
        <f t="shared" ref="E7:E41" si="0">C7*D7</f>
        <v>27864.429999999997</v>
      </c>
      <c r="F7" s="6">
        <f t="shared" ref="F7:F41" si="1">E7/$E$42</f>
        <v>4.7530551170292291E-2</v>
      </c>
      <c r="G7" s="14">
        <f t="shared" ref="G7:G41" si="2">$C$4*F7</f>
        <v>28101.844247545694</v>
      </c>
      <c r="H7" s="10">
        <f t="shared" ref="H7:H41" si="3">G7/C7</f>
        <v>0.13816728574436155</v>
      </c>
      <c r="J7" s="185"/>
      <c r="K7" s="185"/>
      <c r="L7" s="22"/>
    </row>
    <row r="8" spans="2:12" x14ac:dyDescent="0.25">
      <c r="B8" s="20" t="s">
        <v>89</v>
      </c>
      <c r="C8" s="15">
        <v>2039</v>
      </c>
      <c r="D8" s="29">
        <v>0.14899999999999999</v>
      </c>
      <c r="E8" s="31">
        <f t="shared" si="0"/>
        <v>303.81099999999998</v>
      </c>
      <c r="F8" s="6">
        <f t="shared" si="1"/>
        <v>5.1823433250196293E-4</v>
      </c>
      <c r="G8" s="14">
        <f t="shared" si="2"/>
        <v>306.39957116262934</v>
      </c>
      <c r="H8" s="10">
        <f t="shared" si="3"/>
        <v>0.15026952975116692</v>
      </c>
      <c r="J8" s="185"/>
      <c r="K8" s="185"/>
      <c r="L8" s="22"/>
    </row>
    <row r="9" spans="2:12" x14ac:dyDescent="0.25">
      <c r="B9" s="20" t="str">
        <f>+'County Data'!$B$42</f>
        <v>Wallowa</v>
      </c>
      <c r="C9" s="15">
        <f>VLOOKUP($B9,'County Data'!$B$10:$L$46,2,FALSE)</f>
        <v>7433</v>
      </c>
      <c r="D9" s="29">
        <f>VLOOKUP($B9,'County Data'!$B$10:$L$46,5,FALSE)</f>
        <v>0.14899999999999999</v>
      </c>
      <c r="E9" s="31">
        <f t="shared" si="0"/>
        <v>1107.5170000000001</v>
      </c>
      <c r="F9" s="6">
        <f t="shared" si="1"/>
        <v>1.8891789080368274E-3</v>
      </c>
      <c r="G9" s="14">
        <f t="shared" si="2"/>
        <v>1116.9534146404239</v>
      </c>
      <c r="H9" s="10">
        <f t="shared" si="3"/>
        <v>0.15026952975116695</v>
      </c>
      <c r="J9" s="185"/>
      <c r="K9" s="185"/>
      <c r="L9" s="22"/>
    </row>
    <row r="10" spans="2:12" x14ac:dyDescent="0.25">
      <c r="B10" s="20" t="str">
        <f>+'County Data'!$B$28</f>
        <v>Lake</v>
      </c>
      <c r="C10" s="15">
        <f>VLOOKUP($B10,'County Data'!$B$10:$L$46,2,FALSE)</f>
        <v>8177</v>
      </c>
      <c r="D10" s="29">
        <f>VLOOKUP($B10,'County Data'!$B$10:$L$46,5,FALSE)</f>
        <v>0.17899999999999999</v>
      </c>
      <c r="E10" s="31">
        <f t="shared" si="0"/>
        <v>1463.683</v>
      </c>
      <c r="F10" s="6">
        <f t="shared" si="1"/>
        <v>2.4967192843559673E-3</v>
      </c>
      <c r="G10" s="14">
        <f t="shared" si="2"/>
        <v>1476.1540678844115</v>
      </c>
      <c r="H10" s="10">
        <f t="shared" si="3"/>
        <v>0.18052513976818044</v>
      </c>
      <c r="J10" s="185"/>
      <c r="K10" s="185"/>
      <c r="L10" s="22"/>
    </row>
    <row r="11" spans="2:12" x14ac:dyDescent="0.25">
      <c r="B11" s="20" t="str">
        <f>+'County Data'!$B$44</f>
        <v>Washington</v>
      </c>
      <c r="C11" s="15">
        <f>VLOOKUP($B11,'County Data'!$B$10:$L$46,2,FALSE)</f>
        <v>605036</v>
      </c>
      <c r="D11" s="29">
        <f>VLOOKUP($B11,'County Data'!$B$10:$L$46,5,FALSE)</f>
        <v>0.151</v>
      </c>
      <c r="E11" s="31">
        <f t="shared" si="0"/>
        <v>91360.436000000002</v>
      </c>
      <c r="F11" s="6">
        <f t="shared" si="1"/>
        <v>0.15584068571430368</v>
      </c>
      <c r="G11" s="14">
        <f t="shared" si="2"/>
        <v>92138.857420010638</v>
      </c>
      <c r="H11" s="10">
        <f t="shared" si="3"/>
        <v>0.15228657041896787</v>
      </c>
      <c r="J11" s="185"/>
      <c r="K11" s="185"/>
      <c r="L11" s="22"/>
    </row>
    <row r="12" spans="2:12" x14ac:dyDescent="0.25">
      <c r="B12" s="20" t="str">
        <f>+'County Data'!$B$10</f>
        <v>Baker</v>
      </c>
      <c r="C12" s="15">
        <f>VLOOKUP($B12,'County Data'!$B$10:$L$46,2,FALSE)</f>
        <v>16860</v>
      </c>
      <c r="D12" s="29">
        <f>VLOOKUP($B12,'County Data'!$B$10:$L$46,5,FALSE)</f>
        <v>0.18899999999999997</v>
      </c>
      <c r="E12" s="31">
        <f t="shared" si="0"/>
        <v>3186.5399999999995</v>
      </c>
      <c r="F12" s="6">
        <f t="shared" si="1"/>
        <v>5.4355320574001765E-3</v>
      </c>
      <c r="G12" s="14">
        <f t="shared" si="2"/>
        <v>3213.6903847871376</v>
      </c>
      <c r="H12" s="10">
        <f t="shared" si="3"/>
        <v>0.19061034310718492</v>
      </c>
      <c r="J12" s="185"/>
      <c r="K12" s="185"/>
      <c r="L12" s="22"/>
    </row>
    <row r="13" spans="2:12" x14ac:dyDescent="0.25">
      <c r="B13" s="20" t="str">
        <f>+'County Data'!$B$11</f>
        <v>Benton</v>
      </c>
      <c r="C13" s="15">
        <f>VLOOKUP($B13,'County Data'!$B$10:$L$46,2,FALSE)</f>
        <v>93976</v>
      </c>
      <c r="D13" s="29">
        <f>VLOOKUP($B13,'County Data'!$B$10:$L$46,5,FALSE)</f>
        <v>0.113</v>
      </c>
      <c r="E13" s="31">
        <f t="shared" si="0"/>
        <v>10619.288</v>
      </c>
      <c r="F13" s="6">
        <f t="shared" si="1"/>
        <v>1.8114155275240549E-2</v>
      </c>
      <c r="G13" s="14">
        <f t="shared" si="2"/>
        <v>10709.767879545036</v>
      </c>
      <c r="H13" s="10">
        <f t="shared" si="3"/>
        <v>0.11396279773075078</v>
      </c>
      <c r="J13" s="185"/>
      <c r="K13" s="185"/>
      <c r="L13" s="22"/>
    </row>
    <row r="14" spans="2:12" x14ac:dyDescent="0.25">
      <c r="B14" s="20" t="str">
        <f>+'County Data'!$B$41</f>
        <v>Union</v>
      </c>
      <c r="C14" s="15">
        <f>VLOOKUP($B14,'County Data'!$B$10:$L$46,2,FALSE)</f>
        <v>26295</v>
      </c>
      <c r="D14" s="29">
        <f>VLOOKUP($B14,'County Data'!$B$10:$L$46,5,FALSE)</f>
        <v>0.106</v>
      </c>
      <c r="E14" s="31">
        <f t="shared" si="0"/>
        <v>2787.27</v>
      </c>
      <c r="F14" s="6">
        <f t="shared" si="1"/>
        <v>4.7544657960137933E-3</v>
      </c>
      <c r="G14" s="14">
        <f t="shared" si="2"/>
        <v>2811.0184710707058</v>
      </c>
      <c r="H14" s="10">
        <f t="shared" si="3"/>
        <v>0.10690315539344765</v>
      </c>
      <c r="J14" s="185"/>
      <c r="K14" s="185"/>
      <c r="L14" s="22"/>
    </row>
    <row r="15" spans="2:12" x14ac:dyDescent="0.25">
      <c r="B15" s="20" t="str">
        <f>+'County Data'!$B$37</f>
        <v>Polk</v>
      </c>
      <c r="C15" s="15">
        <f>VLOOKUP($B15,'County Data'!$B$10:$L$46,2,FALSE)</f>
        <v>88916</v>
      </c>
      <c r="D15" s="29">
        <f>VLOOKUP($B15,'County Data'!$B$10:$L$46,5,FALSE)</f>
        <v>0.183</v>
      </c>
      <c r="E15" s="31">
        <f t="shared" si="0"/>
        <v>16271.627999999999</v>
      </c>
      <c r="F15" s="6">
        <f t="shared" si="1"/>
        <v>2.7755796450096445E-2</v>
      </c>
      <c r="G15" s="14">
        <f t="shared" si="2"/>
        <v>16410.2677036639</v>
      </c>
      <c r="H15" s="10">
        <f t="shared" si="3"/>
        <v>0.18455922110378223</v>
      </c>
      <c r="J15" s="185"/>
      <c r="K15" s="185"/>
      <c r="L15" s="22"/>
    </row>
    <row r="16" spans="2:12" x14ac:dyDescent="0.25">
      <c r="B16" s="20" t="str">
        <f>+'County Data'!$B$12</f>
        <v>Clackamas</v>
      </c>
      <c r="C16" s="15">
        <f>VLOOKUP($B16,'County Data'!$B$10:$L$46,2,FALSE)</f>
        <v>425316</v>
      </c>
      <c r="D16" s="29">
        <f>VLOOKUP($B16,'County Data'!$B$10:$L$46,5,FALSE)</f>
        <v>0.14499999999999999</v>
      </c>
      <c r="E16" s="31">
        <f t="shared" si="0"/>
        <v>61670.819999999992</v>
      </c>
      <c r="F16" s="6">
        <f t="shared" si="1"/>
        <v>0.10519677114241653</v>
      </c>
      <c r="G16" s="14">
        <f t="shared" si="2"/>
        <v>62196.275978314508</v>
      </c>
      <c r="H16" s="10">
        <f t="shared" si="3"/>
        <v>0.14623544841556516</v>
      </c>
      <c r="J16" s="185"/>
      <c r="K16" s="185"/>
      <c r="L16" s="22"/>
    </row>
    <row r="17" spans="2:12" x14ac:dyDescent="0.25">
      <c r="B17" s="20" t="str">
        <f>+'County Data'!$B$13</f>
        <v>Clatsop</v>
      </c>
      <c r="C17" s="15">
        <f>VLOOKUP($B17,'County Data'!$B$10:$L$46,2,FALSE)</f>
        <v>41428</v>
      </c>
      <c r="D17" s="29">
        <f>VLOOKUP($B17,'County Data'!$B$10:$L$46,5,FALSE)</f>
        <v>0.15</v>
      </c>
      <c r="E17" s="31">
        <f t="shared" si="0"/>
        <v>6214.2</v>
      </c>
      <c r="F17" s="6">
        <f t="shared" si="1"/>
        <v>1.0600049995009063E-2</v>
      </c>
      <c r="G17" s="14">
        <f t="shared" si="2"/>
        <v>6267.1470589241726</v>
      </c>
      <c r="H17" s="10">
        <f t="shared" si="3"/>
        <v>0.15127805008506739</v>
      </c>
      <c r="J17" s="185"/>
      <c r="K17" s="185"/>
      <c r="L17" s="22"/>
    </row>
    <row r="18" spans="2:12" x14ac:dyDescent="0.25">
      <c r="B18" s="20" t="str">
        <f>+'County Data'!$B$36</f>
        <v>Sherman, Wasco</v>
      </c>
      <c r="C18" s="15">
        <f>VLOOKUP($B18,'County Data'!$B$10:$L$46,2,FALSE)</f>
        <v>28489</v>
      </c>
      <c r="D18" s="29">
        <f>VLOOKUP($B18,'County Data'!$B$10:$L$46,5,FALSE)</f>
        <v>0.13800000000000001</v>
      </c>
      <c r="E18" s="31">
        <f t="shared" si="0"/>
        <v>3931.4820000000004</v>
      </c>
      <c r="F18" s="6">
        <f t="shared" si="1"/>
        <v>6.7062382534321761E-3</v>
      </c>
      <c r="G18" s="14">
        <f t="shared" si="2"/>
        <v>3964.9795393636068</v>
      </c>
      <c r="H18" s="10">
        <f t="shared" si="3"/>
        <v>0.13917580607826202</v>
      </c>
      <c r="J18" s="185"/>
      <c r="K18" s="185"/>
      <c r="L18" s="22"/>
    </row>
    <row r="19" spans="2:12" x14ac:dyDescent="0.25">
      <c r="B19" s="20" t="str">
        <f>+'County Data'!$B$29</f>
        <v>Lane</v>
      </c>
      <c r="C19" s="15">
        <f>VLOOKUP($B19,'County Data'!$B$10:$L$46,2,FALSE)</f>
        <v>382647</v>
      </c>
      <c r="D19" s="29">
        <f>VLOOKUP($B19,'County Data'!$B$10:$L$46,5,FALSE)</f>
        <v>0.16600000000000001</v>
      </c>
      <c r="E19" s="31">
        <f t="shared" si="0"/>
        <v>63519.402000000002</v>
      </c>
      <c r="F19" s="6">
        <f t="shared" si="1"/>
        <v>0.10835004294246704</v>
      </c>
      <c r="G19" s="14">
        <f t="shared" si="2"/>
        <v>64060.608514196872</v>
      </c>
      <c r="H19" s="10">
        <f t="shared" si="3"/>
        <v>0.16741437542747459</v>
      </c>
      <c r="J19" s="185"/>
      <c r="K19" s="185"/>
      <c r="L19" s="22"/>
    </row>
    <row r="20" spans="2:12" x14ac:dyDescent="0.25">
      <c r="B20" s="20" t="str">
        <f>+'County Data'!$B$35</f>
        <v>Multnomah</v>
      </c>
      <c r="C20" s="15">
        <f>VLOOKUP($B20,'County Data'!$B$10:$L$46,2,FALSE)</f>
        <v>0</v>
      </c>
      <c r="D20" s="29">
        <f>VLOOKUP($B20,'County Data'!$B$10:$L$46,5,FALSE)</f>
        <v>0.161</v>
      </c>
      <c r="E20" s="31">
        <f t="shared" si="0"/>
        <v>0</v>
      </c>
      <c r="F20" s="6">
        <f t="shared" si="1"/>
        <v>0</v>
      </c>
      <c r="G20" s="14">
        <f t="shared" si="2"/>
        <v>0</v>
      </c>
      <c r="H20" s="10" t="e">
        <f t="shared" si="3"/>
        <v>#DIV/0!</v>
      </c>
      <c r="J20" s="185"/>
      <c r="K20" s="185"/>
      <c r="L20" s="22"/>
    </row>
    <row r="21" spans="2:12" x14ac:dyDescent="0.25">
      <c r="B21" s="20" t="str">
        <f>+'County Data'!$B$21</f>
        <v>Grant</v>
      </c>
      <c r="C21" s="15">
        <f>VLOOKUP($B21,'County Data'!$B$10:$L$46,2,FALSE)</f>
        <v>7226</v>
      </c>
      <c r="D21" s="29">
        <f>VLOOKUP($B21,'County Data'!$B$10:$L$46,5,FALSE)</f>
        <v>0.155</v>
      </c>
      <c r="E21" s="31">
        <f t="shared" si="0"/>
        <v>1120.03</v>
      </c>
      <c r="F21" s="6">
        <f t="shared" si="1"/>
        <v>1.9105233169048311E-3</v>
      </c>
      <c r="G21" s="14">
        <f t="shared" si="2"/>
        <v>1129.5730295785204</v>
      </c>
      <c r="H21" s="10">
        <f t="shared" si="3"/>
        <v>0.15632065175456966</v>
      </c>
      <c r="J21" s="185"/>
      <c r="K21" s="185"/>
      <c r="L21" s="22"/>
    </row>
    <row r="22" spans="2:12" x14ac:dyDescent="0.25">
      <c r="B22" s="20" t="str">
        <f>+'County Data'!$B$24</f>
        <v>Jackson</v>
      </c>
      <c r="C22" s="15">
        <f>VLOOKUP($B22,'County Data'!$B$10:$L$46,2,FALSE)</f>
        <v>223827</v>
      </c>
      <c r="D22" s="29">
        <f>VLOOKUP($B22,'County Data'!$B$10:$L$46,5,FALSE)</f>
        <v>0.184</v>
      </c>
      <c r="E22" s="31">
        <f t="shared" si="0"/>
        <v>41184.167999999998</v>
      </c>
      <c r="F22" s="6">
        <f t="shared" si="1"/>
        <v>7.0251076534847995E-2</v>
      </c>
      <c r="G22" s="14">
        <f t="shared" si="2"/>
        <v>41535.070862772198</v>
      </c>
      <c r="H22" s="10">
        <f t="shared" si="3"/>
        <v>0.18556774143768268</v>
      </c>
      <c r="J22" s="185"/>
      <c r="K22" s="185"/>
      <c r="L22" s="22"/>
    </row>
    <row r="23" spans="2:12" x14ac:dyDescent="0.25">
      <c r="B23" s="20" t="str">
        <f>+'County Data'!$B$31</f>
        <v>Linn</v>
      </c>
      <c r="C23" s="15">
        <f>VLOOKUP($B23,'County Data'!$B$10:$L$46,2,FALSE)</f>
        <v>130440</v>
      </c>
      <c r="D23" s="29">
        <f>VLOOKUP($B23,'County Data'!$B$10:$L$46,5,FALSE)</f>
        <v>0.18100000000000002</v>
      </c>
      <c r="E23" s="31">
        <f t="shared" si="0"/>
        <v>23609.640000000003</v>
      </c>
      <c r="F23" s="6">
        <f t="shared" si="1"/>
        <v>4.0272821017052207E-2</v>
      </c>
      <c r="G23" s="14">
        <f t="shared" si="2"/>
        <v>23810.80201606941</v>
      </c>
      <c r="H23" s="10">
        <f t="shared" si="3"/>
        <v>0.18254218043598136</v>
      </c>
      <c r="J23" s="185"/>
      <c r="K23" s="185"/>
      <c r="L23" s="22"/>
    </row>
    <row r="24" spans="2:12" x14ac:dyDescent="0.25">
      <c r="B24" s="20" t="str">
        <f>+'County Data'!$B$25</f>
        <v>Jefferson</v>
      </c>
      <c r="C24" s="15">
        <f>VLOOKUP($B24,'County Data'!$B$10:$L$46,2,FALSE)</f>
        <v>24889</v>
      </c>
      <c r="D24" s="29">
        <f>VLOOKUP($B24,'County Data'!$B$10:$L$46,5,FALSE)</f>
        <v>0.13699999999999998</v>
      </c>
      <c r="E24" s="31">
        <f t="shared" si="0"/>
        <v>3409.7929999999997</v>
      </c>
      <c r="F24" s="6">
        <f t="shared" si="1"/>
        <v>5.8163522694203492E-3</v>
      </c>
      <c r="G24" s="14">
        <f t="shared" si="2"/>
        <v>3438.8455748914143</v>
      </c>
      <c r="H24" s="10">
        <f t="shared" si="3"/>
        <v>0.13816728574436155</v>
      </c>
      <c r="J24" s="185"/>
      <c r="K24" s="185"/>
      <c r="L24" s="22"/>
    </row>
    <row r="25" spans="2:12" x14ac:dyDescent="0.25">
      <c r="B25" s="20" t="str">
        <f>+'County Data'!$B$46</f>
        <v>Yamhill</v>
      </c>
      <c r="C25" s="15">
        <f>VLOOKUP($B25,'County Data'!$B$10:$L$46,2,FALSE)</f>
        <v>108261</v>
      </c>
      <c r="D25" s="29">
        <f>VLOOKUP($B25,'County Data'!$B$10:$L$46,5,FALSE)</f>
        <v>0.184</v>
      </c>
      <c r="E25" s="31">
        <f t="shared" si="0"/>
        <v>19920.024000000001</v>
      </c>
      <c r="F25" s="6">
        <f t="shared" si="1"/>
        <v>3.3979152634575717E-2</v>
      </c>
      <c r="G25" s="14">
        <f t="shared" si="2"/>
        <v>20089.749255784965</v>
      </c>
      <c r="H25" s="10">
        <f t="shared" si="3"/>
        <v>0.18556774143768268</v>
      </c>
      <c r="J25" s="185"/>
      <c r="K25" s="185"/>
      <c r="L25" s="22"/>
    </row>
    <row r="26" spans="2:12" x14ac:dyDescent="0.25">
      <c r="B26" s="20" t="str">
        <f>+'County Data'!$B$26</f>
        <v>Josephine</v>
      </c>
      <c r="C26" s="15">
        <f>VLOOKUP($B26,'County Data'!$B$10:$L$46,2,FALSE)</f>
        <v>88728</v>
      </c>
      <c r="D26" s="29">
        <f>VLOOKUP($B26,'County Data'!$B$10:$L$46,5,FALSE)</f>
        <v>0.218</v>
      </c>
      <c r="E26" s="31">
        <f t="shared" si="0"/>
        <v>19342.704000000002</v>
      </c>
      <c r="F26" s="6">
        <f t="shared" si="1"/>
        <v>3.2994372475726855E-2</v>
      </c>
      <c r="G26" s="14">
        <f t="shared" si="2"/>
        <v>19507.510296617562</v>
      </c>
      <c r="H26" s="10">
        <f t="shared" si="3"/>
        <v>0.21985743279029801</v>
      </c>
      <c r="J26" s="185"/>
      <c r="K26" s="185"/>
      <c r="L26" s="22"/>
    </row>
    <row r="27" spans="2:12" x14ac:dyDescent="0.25">
      <c r="B27" s="20" t="str">
        <f>+'County Data'!$B$14</f>
        <v>Columbia</v>
      </c>
      <c r="C27" s="15">
        <f>VLOOKUP($B27,'County Data'!$B$10:$L$46,2,FALSE)</f>
        <v>53014</v>
      </c>
      <c r="D27" s="29">
        <f>VLOOKUP($B27,'County Data'!$B$10:$L$46,5,FALSE)</f>
        <v>0.20499999999999999</v>
      </c>
      <c r="E27" s="31">
        <f t="shared" si="0"/>
        <v>10867.869999999999</v>
      </c>
      <c r="F27" s="6">
        <f t="shared" si="1"/>
        <v>1.8538181155942701E-2</v>
      </c>
      <c r="G27" s="14">
        <f t="shared" si="2"/>
        <v>10960.467881186674</v>
      </c>
      <c r="H27" s="10">
        <f t="shared" si="3"/>
        <v>0.20674666844959208</v>
      </c>
      <c r="J27" s="185"/>
      <c r="K27" s="185"/>
      <c r="L27" s="22"/>
    </row>
    <row r="28" spans="2:12" x14ac:dyDescent="0.25">
      <c r="B28" s="20" t="str">
        <f>+'County Data'!$B$39</f>
        <v>Tillamook</v>
      </c>
      <c r="C28" s="15">
        <f>VLOOKUP($B28,'County Data'!$B$10:$L$46,2,FALSE)</f>
        <v>27628</v>
      </c>
      <c r="D28" s="29">
        <f>VLOOKUP($B28,'County Data'!$B$10:$L$46,5,FALSE)</f>
        <v>0.16899999999999998</v>
      </c>
      <c r="E28" s="31">
        <f t="shared" si="0"/>
        <v>4669.1319999999996</v>
      </c>
      <c r="F28" s="6">
        <f t="shared" si="1"/>
        <v>7.9645059111867426E-3</v>
      </c>
      <c r="G28" s="14">
        <f t="shared" si="2"/>
        <v>4708.9145636652729</v>
      </c>
      <c r="H28" s="10">
        <f t="shared" si="3"/>
        <v>0.17043993642917593</v>
      </c>
      <c r="J28" s="185"/>
      <c r="K28" s="185"/>
      <c r="L28" s="22"/>
    </row>
    <row r="29" spans="2:12" x14ac:dyDescent="0.25">
      <c r="B29" s="20" t="str">
        <f>+'County Data'!$B$33</f>
        <v>Marion</v>
      </c>
      <c r="C29" s="15">
        <f>VLOOKUP($B29,'County Data'!$B$10:$L$46,2,FALSE)</f>
        <v>347182</v>
      </c>
      <c r="D29" s="29">
        <f>VLOOKUP($B29,'County Data'!$B$10:$L$46,5,FALSE)</f>
        <v>0.192</v>
      </c>
      <c r="E29" s="31">
        <f t="shared" si="0"/>
        <v>66658.944000000003</v>
      </c>
      <c r="F29" s="6">
        <f t="shared" si="1"/>
        <v>0.11370540681254376</v>
      </c>
      <c r="G29" s="14">
        <f t="shared" si="2"/>
        <v>67226.900460331351</v>
      </c>
      <c r="H29" s="10">
        <f t="shared" si="3"/>
        <v>0.19363590410888626</v>
      </c>
      <c r="J29" s="185"/>
      <c r="K29" s="185"/>
      <c r="L29" s="22"/>
    </row>
    <row r="30" spans="2:12" x14ac:dyDescent="0.25">
      <c r="B30" s="20" t="str">
        <f>+'County Data'!$B$23</f>
        <v>Hood River</v>
      </c>
      <c r="C30" s="15">
        <f>VLOOKUP($B30,'County Data'!$B$10:$L$46,2,FALSE)</f>
        <v>23888</v>
      </c>
      <c r="D30" s="29">
        <f>VLOOKUP($B30,'County Data'!$B$10:$L$46,5,FALSE)</f>
        <v>0.16399999999999998</v>
      </c>
      <c r="E30" s="31">
        <f t="shared" si="0"/>
        <v>3917.6319999999996</v>
      </c>
      <c r="F30" s="6">
        <f t="shared" si="1"/>
        <v>6.6826132184428155E-3</v>
      </c>
      <c r="G30" s="14">
        <f t="shared" si="2"/>
        <v>3951.0115327390849</v>
      </c>
      <c r="H30" s="10">
        <f t="shared" si="3"/>
        <v>0.16539733475967369</v>
      </c>
      <c r="J30" s="185"/>
      <c r="K30" s="185"/>
      <c r="L30" s="22"/>
    </row>
    <row r="31" spans="2:12" x14ac:dyDescent="0.25">
      <c r="B31" s="20" t="str">
        <f>+'County Data'!$B$30</f>
        <v>Lincoln</v>
      </c>
      <c r="C31" s="15">
        <f>VLOOKUP($B31,'County Data'!$B$10:$L$46,2,FALSE)</f>
        <v>50903</v>
      </c>
      <c r="D31" s="29">
        <f>VLOOKUP($B31,'County Data'!$B$10:$L$46,5,FALSE)</f>
        <v>0.21299999999999999</v>
      </c>
      <c r="E31" s="31">
        <f t="shared" si="0"/>
        <v>10842.339</v>
      </c>
      <c r="F31" s="6">
        <f t="shared" si="1"/>
        <v>1.8494630919963402E-2</v>
      </c>
      <c r="G31" s="14">
        <f t="shared" si="2"/>
        <v>10934.719348541865</v>
      </c>
      <c r="H31" s="10">
        <f t="shared" si="3"/>
        <v>0.21481483112079572</v>
      </c>
      <c r="J31" s="185"/>
      <c r="K31" s="185"/>
      <c r="L31" s="22"/>
    </row>
    <row r="32" spans="2:12" x14ac:dyDescent="0.25">
      <c r="B32" s="20" t="str">
        <f>+'County Data'!$B$27</f>
        <v>Klamath</v>
      </c>
      <c r="C32" s="15">
        <f>VLOOKUP($B32,'County Data'!$B$10:$L$46,2,FALSE)</f>
        <v>69822</v>
      </c>
      <c r="D32" s="29">
        <f>VLOOKUP($B32,'County Data'!$B$10:$L$46,5,FALSE)</f>
        <v>0.17399999999999999</v>
      </c>
      <c r="E32" s="31">
        <f t="shared" si="0"/>
        <v>12149.027999999998</v>
      </c>
      <c r="F32" s="6">
        <f t="shared" si="1"/>
        <v>2.0723553183155507E-2</v>
      </c>
      <c r="G32" s="14">
        <f t="shared" si="2"/>
        <v>12252.541775125906</v>
      </c>
      <c r="H32" s="10">
        <f t="shared" si="3"/>
        <v>0.17548253809867817</v>
      </c>
      <c r="J32" s="185"/>
      <c r="K32" s="185"/>
      <c r="L32" s="22"/>
    </row>
    <row r="33" spans="2:12" x14ac:dyDescent="0.25">
      <c r="B33" s="20" t="str">
        <f>+'County Data'!$B$15</f>
        <v>Coos</v>
      </c>
      <c r="C33" s="15">
        <f>VLOOKUP($B33,'County Data'!$B$10:$L$46,2,FALSE)</f>
        <v>65154</v>
      </c>
      <c r="D33" s="29">
        <f>VLOOKUP($B33,'County Data'!$B$10:$L$46,5,FALSE)</f>
        <v>0.214</v>
      </c>
      <c r="E33" s="31">
        <f t="shared" si="0"/>
        <v>13942.956</v>
      </c>
      <c r="F33" s="6">
        <f t="shared" si="1"/>
        <v>2.3783597354158473E-2</v>
      </c>
      <c r="G33" s="14">
        <f t="shared" si="2"/>
        <v>14061.754640679274</v>
      </c>
      <c r="H33" s="10">
        <f t="shared" si="3"/>
        <v>0.21582335145469617</v>
      </c>
      <c r="J33" s="185"/>
      <c r="K33" s="185"/>
      <c r="L33" s="22"/>
    </row>
    <row r="34" spans="2:12" x14ac:dyDescent="0.25">
      <c r="B34" s="20" t="str">
        <f>+'County Data'!$B$40</f>
        <v>Umatilla</v>
      </c>
      <c r="C34" s="15">
        <f>VLOOKUP($B34,'County Data'!$B$10:$L$46,2,FALSE)</f>
        <v>80463</v>
      </c>
      <c r="D34" s="29">
        <f>VLOOKUP($B34,'County Data'!$B$10:$L$46,5,FALSE)</f>
        <v>0.184</v>
      </c>
      <c r="E34" s="31">
        <f t="shared" si="0"/>
        <v>14805.191999999999</v>
      </c>
      <c r="F34" s="6">
        <f t="shared" si="1"/>
        <v>2.5254381156980497E-2</v>
      </c>
      <c r="G34" s="14">
        <f t="shared" si="2"/>
        <v>14931.337179300259</v>
      </c>
      <c r="H34" s="10">
        <f t="shared" si="3"/>
        <v>0.18556774143768265</v>
      </c>
      <c r="J34" s="185"/>
      <c r="K34" s="185"/>
      <c r="L34" s="22"/>
    </row>
    <row r="35" spans="2:12" x14ac:dyDescent="0.25">
      <c r="B35" s="20" t="str">
        <f>+'County Data'!$B$19</f>
        <v>Douglas</v>
      </c>
      <c r="C35" s="15">
        <f>VLOOKUP($B35,'County Data'!$B$10:$L$46,2,FALSE)</f>
        <v>111694</v>
      </c>
      <c r="D35" s="29">
        <f>VLOOKUP($B35,'County Data'!$B$10:$L$46,5,FALSE)</f>
        <v>0.222</v>
      </c>
      <c r="E35" s="31">
        <f t="shared" si="0"/>
        <v>24796.067999999999</v>
      </c>
      <c r="F35" s="6">
        <f t="shared" si="1"/>
        <v>4.2296604628052591E-2</v>
      </c>
      <c r="G35" s="14">
        <f t="shared" si="2"/>
        <v>25007.338778778249</v>
      </c>
      <c r="H35" s="10">
        <f t="shared" si="3"/>
        <v>0.22389151412589978</v>
      </c>
      <c r="J35" s="185"/>
      <c r="K35" s="185"/>
      <c r="L35" s="22"/>
    </row>
    <row r="36" spans="2:12" x14ac:dyDescent="0.25">
      <c r="B36" s="20" t="str">
        <f>+'County Data'!$B$17</f>
        <v>Curry</v>
      </c>
      <c r="C36" s="15">
        <f>VLOOKUP($B36,'County Data'!$B$10:$L$46,2,FALSE)</f>
        <v>23662</v>
      </c>
      <c r="D36" s="29">
        <f>VLOOKUP($B36,'County Data'!$B$10:$L$46,5,FALSE)</f>
        <v>0.20399999999999999</v>
      </c>
      <c r="E36" s="31">
        <f t="shared" si="0"/>
        <v>4827.0479999999998</v>
      </c>
      <c r="F36" s="6">
        <f t="shared" si="1"/>
        <v>8.2338756603116264E-3</v>
      </c>
      <c r="G36" s="14">
        <f t="shared" si="2"/>
        <v>4868.1760607134966</v>
      </c>
      <c r="H36" s="10">
        <f t="shared" si="3"/>
        <v>0.20573814811569169</v>
      </c>
      <c r="J36" s="185"/>
      <c r="K36" s="185"/>
      <c r="L36" s="22"/>
    </row>
    <row r="37" spans="2:12" x14ac:dyDescent="0.25">
      <c r="B37" s="20" t="str">
        <f>+'County Data'!$B$16</f>
        <v>Crook</v>
      </c>
      <c r="C37" s="15">
        <f>VLOOKUP($B37,'County Data'!$B$10:$L$46,2,FALSE)</f>
        <v>25482</v>
      </c>
      <c r="D37" s="29">
        <f>VLOOKUP($B37,'County Data'!$B$10:$L$46,5,FALSE)</f>
        <v>0.23</v>
      </c>
      <c r="E37" s="31">
        <f t="shared" si="0"/>
        <v>5860.8600000000006</v>
      </c>
      <c r="F37" s="6">
        <f t="shared" si="1"/>
        <v>9.9973301492949744E-3</v>
      </c>
      <c r="G37" s="14">
        <f t="shared" si="2"/>
        <v>5910.7964841437888</v>
      </c>
      <c r="H37" s="10">
        <f t="shared" si="3"/>
        <v>0.23195967679710339</v>
      </c>
      <c r="J37" s="185"/>
      <c r="K37" s="185"/>
      <c r="L37" s="22"/>
    </row>
    <row r="38" spans="2:12" x14ac:dyDescent="0.25">
      <c r="B38" s="20" t="str">
        <f>+'County Data'!$B$34</f>
        <v>Morrow</v>
      </c>
      <c r="C38" s="15">
        <f>VLOOKUP($B38,'County Data'!$B$10:$L$46,2,FALSE)</f>
        <v>12635</v>
      </c>
      <c r="D38" s="29">
        <f>VLOOKUP($B38,'County Data'!$B$10:$L$46,5,FALSE)</f>
        <v>0.312</v>
      </c>
      <c r="E38" s="31">
        <f t="shared" si="0"/>
        <v>3942.12</v>
      </c>
      <c r="F38" s="6">
        <f t="shared" si="1"/>
        <v>6.724384327238442E-3</v>
      </c>
      <c r="G38" s="14">
        <f t="shared" si="2"/>
        <v>3975.7081786756389</v>
      </c>
      <c r="H38" s="10">
        <f t="shared" si="3"/>
        <v>0.31465834417694016</v>
      </c>
      <c r="J38" s="185"/>
      <c r="K38" s="185"/>
      <c r="L38" s="22"/>
    </row>
    <row r="39" spans="2:12" x14ac:dyDescent="0.25">
      <c r="B39" s="20" t="str">
        <f>+'County Data'!$B$22</f>
        <v>Harney</v>
      </c>
      <c r="C39" s="15">
        <f>VLOOKUP($B39,'County Data'!$B$10:$L$46,2,FALSE)</f>
        <v>7537</v>
      </c>
      <c r="D39" s="29">
        <f>VLOOKUP($B39,'County Data'!$B$10:$L$46,5,FALSE)</f>
        <v>0.122</v>
      </c>
      <c r="E39" s="31">
        <f t="shared" si="0"/>
        <v>919.51400000000001</v>
      </c>
      <c r="F39" s="6">
        <f t="shared" si="1"/>
        <v>1.5684873951772979E-3</v>
      </c>
      <c r="G39" s="14">
        <f t="shared" si="2"/>
        <v>927.34856630613785</v>
      </c>
      <c r="H39" s="10">
        <f t="shared" si="3"/>
        <v>0.12303948073585483</v>
      </c>
      <c r="J39" s="185"/>
      <c r="K39" s="185"/>
      <c r="L39" s="22"/>
    </row>
    <row r="40" spans="2:12" x14ac:dyDescent="0.25">
      <c r="B40" s="20" t="str">
        <f>+'County Data'!$B$32</f>
        <v>Malheur</v>
      </c>
      <c r="C40" s="15">
        <f>VLOOKUP($B40,'County Data'!$B$10:$L$46,2,FALSE)</f>
        <v>31995</v>
      </c>
      <c r="D40" s="29">
        <f>VLOOKUP($B40,'County Data'!$B$10:$L$46,5,FALSE)</f>
        <v>0.27100000000000002</v>
      </c>
      <c r="E40" s="31">
        <f t="shared" si="0"/>
        <v>8670.6450000000004</v>
      </c>
      <c r="F40" s="6">
        <f t="shared" si="1"/>
        <v>1.4790201552730097E-2</v>
      </c>
      <c r="G40" s="14">
        <f t="shared" si="2"/>
        <v>8744.5217905322625</v>
      </c>
      <c r="H40" s="10">
        <f t="shared" si="3"/>
        <v>0.27330901048702178</v>
      </c>
      <c r="J40" s="185"/>
      <c r="K40" s="185"/>
      <c r="L40" s="22"/>
    </row>
    <row r="41" spans="2:12" x14ac:dyDescent="0.25">
      <c r="B41" s="20" t="str">
        <f>'County Data'!$B$45</f>
        <v>Wheeler</v>
      </c>
      <c r="C41" s="15">
        <f>VLOOKUP($B41,'County Data'!$B$10:$L$46,2,FALSE)</f>
        <v>1456</v>
      </c>
      <c r="D41" s="29">
        <f>VLOOKUP($B41,'County Data'!$B$10:$L$46,5,FALSE)</f>
        <v>0.33399999999999996</v>
      </c>
      <c r="E41" s="31">
        <f t="shared" si="0"/>
        <v>486.30399999999997</v>
      </c>
      <c r="F41" s="6">
        <f t="shared" si="1"/>
        <v>8.2952700472673673E-4</v>
      </c>
      <c r="G41" s="14">
        <f t="shared" si="2"/>
        <v>490.44747245712409</v>
      </c>
      <c r="H41" s="10">
        <f t="shared" si="3"/>
        <v>0.33684579152275007</v>
      </c>
      <c r="J41" s="185"/>
      <c r="K41" s="185"/>
      <c r="L41" s="22"/>
    </row>
    <row r="42" spans="2:12" x14ac:dyDescent="0.25">
      <c r="B42" s="4" t="s">
        <v>2</v>
      </c>
      <c r="C42" s="5">
        <f>SUM(C6:C41)</f>
        <v>3445888</v>
      </c>
      <c r="D42" s="5">
        <f>SUM(D6:D41)</f>
        <v>6.3850000000000016</v>
      </c>
      <c r="E42" s="5">
        <f>SUM(E6:E41)</f>
        <v>586242.51799999992</v>
      </c>
      <c r="F42" s="8">
        <f>SUM(F6:F41)</f>
        <v>1.0000000000000002</v>
      </c>
      <c r="G42" s="11">
        <f>SUM(G6:G41)</f>
        <v>591237.50000000023</v>
      </c>
      <c r="H42" s="12">
        <f t="shared" ref="H42" si="4">G42/C42</f>
        <v>0.1715776891181606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2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14500000</v>
      </c>
    </row>
    <row r="4" spans="2:8" x14ac:dyDescent="0.25">
      <c r="B4" t="s">
        <v>41</v>
      </c>
      <c r="C4" s="14">
        <f>'County Data'!G9</f>
        <v>2128455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'County Data'!$B$45</f>
        <v>Wheeler</v>
      </c>
      <c r="C7" s="15">
        <f>VLOOKUP($B7,'County Data'!$B$10:$L$46,2,FALSE)</f>
        <v>1456</v>
      </c>
      <c r="D7" s="29">
        <f>VLOOKUP($B7,'County Data'!$B$10:$L$46,6,FALSE)</f>
        <v>9.1037402964008474E-2</v>
      </c>
      <c r="E7" s="31">
        <f t="shared" ref="E7:E41" si="0">C7*D7</f>
        <v>132.55045871559633</v>
      </c>
      <c r="F7" s="6">
        <f t="shared" ref="F7:F41" si="1">E7/$E$42</f>
        <v>2.4340408867282433E-4</v>
      </c>
      <c r="G7" s="14">
        <f t="shared" ref="G7:G41" si="2">$C$4*F7</f>
        <v>518.07464955611636</v>
      </c>
      <c r="H7" s="10">
        <f t="shared" ref="H7:H41" si="3">G7/C7</f>
        <v>0.35582050106876123</v>
      </c>
    </row>
    <row r="8" spans="2:8" x14ac:dyDescent="0.25">
      <c r="B8" s="20" t="s">
        <v>89</v>
      </c>
      <c r="C8" s="15">
        <v>2039</v>
      </c>
      <c r="D8" s="29">
        <v>0.11023206751054852</v>
      </c>
      <c r="E8" s="31">
        <f t="shared" ref="E8" si="4">C8*D8</f>
        <v>224.76318565400845</v>
      </c>
      <c r="F8" s="6">
        <f t="shared" ref="F8" si="5">E8/$E$42</f>
        <v>4.1273548882013477E-4</v>
      </c>
      <c r="G8" s="14">
        <f t="shared" ref="G8" si="6">$C$4*F8</f>
        <v>878.4889148566599</v>
      </c>
      <c r="H8" s="10">
        <f t="shared" ref="H8" si="7">G8/C8</f>
        <v>0.43084301856628737</v>
      </c>
    </row>
    <row r="9" spans="2:8" x14ac:dyDescent="0.25">
      <c r="B9" s="20" t="str">
        <f>+'County Data'!$B$42</f>
        <v>Wallowa</v>
      </c>
      <c r="C9" s="15">
        <f>VLOOKUP($B9,'County Data'!$B$10:$L$46,2,FALSE)</f>
        <v>7433</v>
      </c>
      <c r="D9" s="29">
        <f>VLOOKUP($B9,'County Data'!$B$10:$L$46,6,FALSE)</f>
        <v>6.2561924982307143E-2</v>
      </c>
      <c r="E9" s="31">
        <f t="shared" si="0"/>
        <v>465.02278839348901</v>
      </c>
      <c r="F9" s="6">
        <f t="shared" si="1"/>
        <v>8.5392724489828328E-4</v>
      </c>
      <c r="G9" s="14">
        <f t="shared" si="2"/>
        <v>1817.5457140399756</v>
      </c>
      <c r="H9" s="10">
        <f t="shared" si="3"/>
        <v>0.24452384152293496</v>
      </c>
    </row>
    <row r="10" spans="2:8" x14ac:dyDescent="0.25">
      <c r="B10" s="20" t="str">
        <f>+'County Data'!$B$21</f>
        <v>Grant</v>
      </c>
      <c r="C10" s="15">
        <f>VLOOKUP($B10,'County Data'!$B$10:$L$46,2,FALSE)</f>
        <v>7226</v>
      </c>
      <c r="D10" s="29">
        <f>VLOOKUP($B10,'County Data'!$B$10:$L$46,6,FALSE)</f>
        <v>6.4259827153610255E-2</v>
      </c>
      <c r="E10" s="31">
        <f t="shared" si="0"/>
        <v>464.34151101198768</v>
      </c>
      <c r="F10" s="6">
        <f t="shared" si="1"/>
        <v>8.526762066009845E-4</v>
      </c>
      <c r="G10" s="14">
        <f t="shared" si="2"/>
        <v>1814.8829353208985</v>
      </c>
      <c r="H10" s="10">
        <f t="shared" si="3"/>
        <v>0.25116010729600036</v>
      </c>
    </row>
    <row r="11" spans="2:8" x14ac:dyDescent="0.25">
      <c r="B11" s="20" t="str">
        <f>+'County Data'!$B$10</f>
        <v>Baker</v>
      </c>
      <c r="C11" s="15">
        <f>VLOOKUP($B11,'County Data'!$B$10:$L$46,2,FALSE)</f>
        <v>16860</v>
      </c>
      <c r="D11" s="29">
        <f>VLOOKUP($B11,'County Data'!$B$10:$L$46,6,FALSE)</f>
        <v>7.7563704164077069E-2</v>
      </c>
      <c r="E11" s="31">
        <f t="shared" si="0"/>
        <v>1307.7240522063394</v>
      </c>
      <c r="F11" s="6">
        <f t="shared" si="1"/>
        <v>2.4013902648634448E-3</v>
      </c>
      <c r="G11" s="14">
        <f t="shared" si="2"/>
        <v>5111.2511161999237</v>
      </c>
      <c r="H11" s="10">
        <f t="shared" si="3"/>
        <v>0.30315842919335251</v>
      </c>
    </row>
    <row r="12" spans="2:8" x14ac:dyDescent="0.25">
      <c r="B12" s="20" t="str">
        <f>+'County Data'!$B$41</f>
        <v>Union</v>
      </c>
      <c r="C12" s="15">
        <f>VLOOKUP($B12,'County Data'!$B$10:$L$46,2,FALSE)</f>
        <v>26295</v>
      </c>
      <c r="D12" s="29">
        <f>VLOOKUP($B12,'County Data'!$B$10:$L$46,6,FALSE)</f>
        <v>8.2597539808316356E-2</v>
      </c>
      <c r="E12" s="31">
        <f t="shared" si="0"/>
        <v>2171.9023092596785</v>
      </c>
      <c r="F12" s="6">
        <f t="shared" si="1"/>
        <v>3.9882917599405633E-3</v>
      </c>
      <c r="G12" s="14">
        <f t="shared" si="2"/>
        <v>8488.8995379042917</v>
      </c>
      <c r="H12" s="10">
        <f t="shared" si="3"/>
        <v>0.32283322068470399</v>
      </c>
    </row>
    <row r="13" spans="2:8" x14ac:dyDescent="0.25">
      <c r="B13" s="20" t="str">
        <f>+'County Data'!$B$14</f>
        <v>Columbia</v>
      </c>
      <c r="C13" s="15">
        <f>VLOOKUP($B13,'County Data'!$B$10:$L$46,2,FALSE)</f>
        <v>53014</v>
      </c>
      <c r="D13" s="29">
        <f>VLOOKUP($B13,'County Data'!$B$10:$L$46,6,FALSE)</f>
        <v>8.4463802598000653E-2</v>
      </c>
      <c r="E13" s="31">
        <f t="shared" si="0"/>
        <v>4477.764030930407</v>
      </c>
      <c r="F13" s="6">
        <f t="shared" si="1"/>
        <v>8.222574888096754E-3</v>
      </c>
      <c r="G13" s="14">
        <f t="shared" si="2"/>
        <v>17501.380633443976</v>
      </c>
      <c r="H13" s="10">
        <f t="shared" si="3"/>
        <v>0.33012752543562035</v>
      </c>
    </row>
    <row r="14" spans="2:8" x14ac:dyDescent="0.25">
      <c r="B14" s="20" t="str">
        <f>+'County Data'!$B$19</f>
        <v>Douglas</v>
      </c>
      <c r="C14" s="15">
        <f>VLOOKUP($B14,'County Data'!$B$10:$L$46,2,FALSE)</f>
        <v>111694</v>
      </c>
      <c r="D14" s="29">
        <f>VLOOKUP($B14,'County Data'!$B$10:$L$46,6,FALSE)</f>
        <v>8.4533927191746586E-2</v>
      </c>
      <c r="E14" s="31">
        <f t="shared" si="0"/>
        <v>9441.9324637549435</v>
      </c>
      <c r="F14" s="6">
        <f t="shared" si="1"/>
        <v>1.7338340349177625E-2</v>
      </c>
      <c r="G14" s="14">
        <f t="shared" si="2"/>
        <v>36903.877207908859</v>
      </c>
      <c r="H14" s="10">
        <f t="shared" si="3"/>
        <v>0.3304016080354259</v>
      </c>
    </row>
    <row r="15" spans="2:8" x14ac:dyDescent="0.25">
      <c r="B15" s="20" t="str">
        <f>+'County Data'!$B$16</f>
        <v>Crook</v>
      </c>
      <c r="C15" s="15">
        <f>VLOOKUP($B15,'County Data'!$B$10:$L$46,2,FALSE)</f>
        <v>25482</v>
      </c>
      <c r="D15" s="29">
        <f>VLOOKUP($B15,'County Data'!$B$10:$L$46,6,FALSE)</f>
        <v>6.9523448363038809E-2</v>
      </c>
      <c r="E15" s="31">
        <f t="shared" si="0"/>
        <v>1771.596511186955</v>
      </c>
      <c r="F15" s="6">
        <f t="shared" si="1"/>
        <v>3.2532051452695407E-3</v>
      </c>
      <c r="G15" s="14">
        <f t="shared" si="2"/>
        <v>6924.3007574746798</v>
      </c>
      <c r="H15" s="10">
        <f t="shared" si="3"/>
        <v>0.27173301771739578</v>
      </c>
    </row>
    <row r="16" spans="2:8" x14ac:dyDescent="0.25">
      <c r="B16" s="20" t="str">
        <f>+'County Data'!$B$18</f>
        <v>Deschutes</v>
      </c>
      <c r="C16" s="15">
        <f>VLOOKUP($B16,'County Data'!$B$10:$L$46,2,FALSE)</f>
        <v>203390</v>
      </c>
      <c r="D16" s="29">
        <f>VLOOKUP($B16,'County Data'!$B$10:$L$46,6,FALSE)</f>
        <v>7.9447611200058416E-2</v>
      </c>
      <c r="E16" s="31">
        <f t="shared" si="0"/>
        <v>16158.849641979881</v>
      </c>
      <c r="F16" s="6">
        <f t="shared" si="1"/>
        <v>2.9672700564140116E-2</v>
      </c>
      <c r="G16" s="14">
        <f t="shared" si="2"/>
        <v>63157.007879246848</v>
      </c>
      <c r="H16" s="10">
        <f t="shared" si="3"/>
        <v>0.31052169663821649</v>
      </c>
    </row>
    <row r="17" spans="2:8" x14ac:dyDescent="0.25">
      <c r="B17" s="20" t="str">
        <f>+'County Data'!$B$26</f>
        <v>Josephine</v>
      </c>
      <c r="C17" s="15">
        <f>VLOOKUP($B17,'County Data'!$B$10:$L$46,2,FALSE)</f>
        <v>88728</v>
      </c>
      <c r="D17" s="29">
        <f>VLOOKUP($B17,'County Data'!$B$10:$L$46,6,FALSE)</f>
        <v>8.6949033835838199E-2</v>
      </c>
      <c r="E17" s="31">
        <f t="shared" si="0"/>
        <v>7714.8138741862522</v>
      </c>
      <c r="F17" s="6">
        <f t="shared" si="1"/>
        <v>1.416681057555492E-2</v>
      </c>
      <c r="G17" s="14">
        <f t="shared" si="2"/>
        <v>30153.418803592747</v>
      </c>
      <c r="H17" s="10">
        <f t="shared" si="3"/>
        <v>0.33984107388414869</v>
      </c>
    </row>
    <row r="18" spans="2:8" x14ac:dyDescent="0.25">
      <c r="B18" s="20" t="str">
        <f>+'County Data'!$B$17</f>
        <v>Curry</v>
      </c>
      <c r="C18" s="15">
        <f>VLOOKUP($B18,'County Data'!$B$10:$L$46,2,FALSE)</f>
        <v>23662</v>
      </c>
      <c r="D18" s="29">
        <f>VLOOKUP($B18,'County Data'!$B$10:$L$46,6,FALSE)</f>
        <v>0.10411114509152868</v>
      </c>
      <c r="E18" s="31">
        <f t="shared" si="0"/>
        <v>2463.4779151557514</v>
      </c>
      <c r="F18" s="6">
        <f t="shared" si="1"/>
        <v>4.5237157435318743E-3</v>
      </c>
      <c r="G18" s="14">
        <f t="shared" si="2"/>
        <v>9628.5253928991351</v>
      </c>
      <c r="H18" s="10">
        <f t="shared" si="3"/>
        <v>0.4069193387245007</v>
      </c>
    </row>
    <row r="19" spans="2:8" x14ac:dyDescent="0.25">
      <c r="B19" s="20" t="str">
        <f>+'County Data'!$B$22</f>
        <v>Harney</v>
      </c>
      <c r="C19" s="15">
        <f>VLOOKUP($B19,'County Data'!$B$10:$L$46,2,FALSE)</f>
        <v>7537</v>
      </c>
      <c r="D19" s="29">
        <f>VLOOKUP($B19,'County Data'!$B$10:$L$46,6,FALSE)</f>
        <v>9.2886456908344739E-2</v>
      </c>
      <c r="E19" s="31">
        <f t="shared" si="0"/>
        <v>700.08522571819435</v>
      </c>
      <c r="F19" s="6">
        <f t="shared" si="1"/>
        <v>1.2855753802019497E-3</v>
      </c>
      <c r="G19" s="14">
        <f t="shared" si="2"/>
        <v>2736.2893458677408</v>
      </c>
      <c r="H19" s="10">
        <f t="shared" si="3"/>
        <v>0.36304754489422064</v>
      </c>
    </row>
    <row r="20" spans="2:8" x14ac:dyDescent="0.25">
      <c r="B20" s="20" t="str">
        <f>+'County Data'!$B$13</f>
        <v>Clatsop</v>
      </c>
      <c r="C20" s="15">
        <f>VLOOKUP($B20,'County Data'!$B$10:$L$46,2,FALSE)</f>
        <v>41428</v>
      </c>
      <c r="D20" s="29">
        <f>VLOOKUP($B20,'County Data'!$B$10:$L$46,6,FALSE)</f>
        <v>0.10865947145450877</v>
      </c>
      <c r="E20" s="31">
        <f t="shared" si="0"/>
        <v>4501.5445834173897</v>
      </c>
      <c r="F20" s="6">
        <f t="shared" si="1"/>
        <v>8.266243418272496E-3</v>
      </c>
      <c r="G20" s="14">
        <f t="shared" si="2"/>
        <v>17594.327134839186</v>
      </c>
      <c r="H20" s="10">
        <f t="shared" si="3"/>
        <v>0.42469651286181292</v>
      </c>
    </row>
    <row r="21" spans="2:8" x14ac:dyDescent="0.25">
      <c r="B21" s="20" t="str">
        <f>+'County Data'!$B$31</f>
        <v>Linn</v>
      </c>
      <c r="C21" s="15">
        <f>VLOOKUP($B21,'County Data'!$B$10:$L$46,2,FALSE)</f>
        <v>130440</v>
      </c>
      <c r="D21" s="29">
        <f>VLOOKUP($B21,'County Data'!$B$10:$L$46,6,FALSE)</f>
        <v>0.11191988429128412</v>
      </c>
      <c r="E21" s="31">
        <f t="shared" si="0"/>
        <v>14598.829706955101</v>
      </c>
      <c r="F21" s="6">
        <f t="shared" si="1"/>
        <v>2.68080161694156E-2</v>
      </c>
      <c r="G21" s="14">
        <f t="shared" si="2"/>
        <v>57059.656055873478</v>
      </c>
      <c r="H21" s="10">
        <f t="shared" si="3"/>
        <v>0.43743986550040997</v>
      </c>
    </row>
    <row r="22" spans="2:8" x14ac:dyDescent="0.25">
      <c r="B22" s="20" t="str">
        <f>+'County Data'!$B$15</f>
        <v>Coos</v>
      </c>
      <c r="C22" s="15">
        <f>VLOOKUP($B22,'County Data'!$B$10:$L$46,2,FALSE)</f>
        <v>65154</v>
      </c>
      <c r="D22" s="29">
        <f>VLOOKUP($B22,'County Data'!$B$10:$L$46,6,FALSE)</f>
        <v>0.11372029606544605</v>
      </c>
      <c r="E22" s="31">
        <f t="shared" si="0"/>
        <v>7409.3321698480722</v>
      </c>
      <c r="F22" s="6">
        <f t="shared" si="1"/>
        <v>1.3605850647002768E-2</v>
      </c>
      <c r="G22" s="14">
        <f t="shared" si="2"/>
        <v>28959.440838866278</v>
      </c>
      <c r="H22" s="10">
        <f t="shared" si="3"/>
        <v>0.44447679097010589</v>
      </c>
    </row>
    <row r="23" spans="2:8" x14ac:dyDescent="0.25">
      <c r="B23" s="20" t="str">
        <f>+'County Data'!$B$28</f>
        <v>Lake</v>
      </c>
      <c r="C23" s="15">
        <f>VLOOKUP($B23,'County Data'!$B$10:$L$46,2,FALSE)</f>
        <v>8177</v>
      </c>
      <c r="D23" s="29">
        <f>VLOOKUP($B23,'County Data'!$B$10:$L$46,6,FALSE)</f>
        <v>8.1560283687943269E-2</v>
      </c>
      <c r="E23" s="31">
        <f t="shared" si="0"/>
        <v>666.91843971631215</v>
      </c>
      <c r="F23" s="6">
        <f t="shared" si="1"/>
        <v>1.2246707903633268E-3</v>
      </c>
      <c r="G23" s="14">
        <f t="shared" si="2"/>
        <v>2606.6566671027749</v>
      </c>
      <c r="H23" s="10">
        <f t="shared" si="3"/>
        <v>0.31877909589125292</v>
      </c>
    </row>
    <row r="24" spans="2:8" x14ac:dyDescent="0.25">
      <c r="B24" s="20" t="str">
        <f>+'County Data'!$B$39</f>
        <v>Tillamook</v>
      </c>
      <c r="C24" s="15">
        <f>VLOOKUP($B24,'County Data'!$B$10:$L$46,2,FALSE)</f>
        <v>27628</v>
      </c>
      <c r="D24" s="29">
        <f>VLOOKUP($B24,'County Data'!$B$10:$L$46,6,FALSE)</f>
        <v>8.8529609439175566E-2</v>
      </c>
      <c r="E24" s="31">
        <f t="shared" si="0"/>
        <v>2445.8960495855426</v>
      </c>
      <c r="F24" s="6">
        <f t="shared" si="1"/>
        <v>4.4914299407685133E-3</v>
      </c>
      <c r="G24" s="14">
        <f t="shared" si="2"/>
        <v>9559.8065145784458</v>
      </c>
      <c r="H24" s="10">
        <f t="shared" si="3"/>
        <v>0.34601876772037232</v>
      </c>
    </row>
    <row r="25" spans="2:8" x14ac:dyDescent="0.25">
      <c r="B25" s="20" t="str">
        <f>+'County Data'!$B$12</f>
        <v>Clackamas</v>
      </c>
      <c r="C25" s="15">
        <f>VLOOKUP($B25,'County Data'!$B$10:$L$46,2,FALSE)</f>
        <v>425316</v>
      </c>
      <c r="D25" s="29">
        <f>VLOOKUP($B25,'County Data'!$B$10:$L$46,6,FALSE)</f>
        <v>0.14249404939723043</v>
      </c>
      <c r="E25" s="31">
        <f t="shared" si="0"/>
        <v>60604.999113432459</v>
      </c>
      <c r="F25" s="6">
        <f t="shared" si="1"/>
        <v>0.11128972861477274</v>
      </c>
      <c r="G25" s="14">
        <f t="shared" si="2"/>
        <v>236875.1793187561</v>
      </c>
      <c r="H25" s="10">
        <f t="shared" si="3"/>
        <v>0.55693926238080882</v>
      </c>
    </row>
    <row r="26" spans="2:8" x14ac:dyDescent="0.25">
      <c r="B26" s="20" t="str">
        <f>+'County Data'!$B$29</f>
        <v>Lane</v>
      </c>
      <c r="C26" s="15">
        <f>VLOOKUP($B26,'County Data'!$B$10:$L$46,2,FALSE)</f>
        <v>382647</v>
      </c>
      <c r="D26" s="29">
        <f>VLOOKUP($B26,'County Data'!$B$10:$L$46,6,FALSE)</f>
        <v>0.14291765166817119</v>
      </c>
      <c r="E26" s="31">
        <f t="shared" si="0"/>
        <v>54687.010657870705</v>
      </c>
      <c r="F26" s="6">
        <f t="shared" si="1"/>
        <v>0.10042245134723043</v>
      </c>
      <c r="G26" s="14">
        <f t="shared" si="2"/>
        <v>213744.66868226934</v>
      </c>
      <c r="H26" s="10">
        <f t="shared" si="3"/>
        <v>0.55859491563312746</v>
      </c>
    </row>
    <row r="27" spans="2:8" x14ac:dyDescent="0.25">
      <c r="B27" s="20" t="str">
        <f>+'County Data'!$B$30</f>
        <v>Lincoln</v>
      </c>
      <c r="C27" s="15">
        <f>VLOOKUP($B27,'County Data'!$B$10:$L$46,2,FALSE)</f>
        <v>50903</v>
      </c>
      <c r="D27" s="29">
        <f>VLOOKUP($B27,'County Data'!$B$10:$L$46,6,FALSE)</f>
        <v>0.12879033565753203</v>
      </c>
      <c r="E27" s="31">
        <f t="shared" si="0"/>
        <v>6555.8144559753528</v>
      </c>
      <c r="F27" s="6">
        <f t="shared" si="1"/>
        <v>1.2038525242591646E-2</v>
      </c>
      <c r="G27" s="14">
        <f t="shared" si="2"/>
        <v>25623.459245220401</v>
      </c>
      <c r="H27" s="10">
        <f t="shared" si="3"/>
        <v>0.50337817506277438</v>
      </c>
    </row>
    <row r="28" spans="2:8" x14ac:dyDescent="0.25">
      <c r="B28" s="20" t="str">
        <f>+'County Data'!$B$24</f>
        <v>Jackson</v>
      </c>
      <c r="C28" s="15">
        <f>VLOOKUP($B28,'County Data'!$B$10:$L$46,2,FALSE)</f>
        <v>223827</v>
      </c>
      <c r="D28" s="29">
        <f>VLOOKUP($B28,'County Data'!$B$10:$L$46,6,FALSE)</f>
        <v>9.7956403892476951E-2</v>
      </c>
      <c r="E28" s="31">
        <f t="shared" si="0"/>
        <v>21925.288014041438</v>
      </c>
      <c r="F28" s="6">
        <f t="shared" si="1"/>
        <v>4.0261684491017302E-2</v>
      </c>
      <c r="G28" s="14">
        <f t="shared" si="2"/>
        <v>85695.183663328236</v>
      </c>
      <c r="H28" s="10">
        <f t="shared" si="3"/>
        <v>0.38286347787947045</v>
      </c>
    </row>
    <row r="29" spans="2:8" x14ac:dyDescent="0.25">
      <c r="B29" s="20" t="str">
        <f>+'County Data'!$B$11</f>
        <v>Benton</v>
      </c>
      <c r="C29" s="15">
        <f>VLOOKUP($B29,'County Data'!$B$10:$L$46,2,FALSE)</f>
        <v>93976</v>
      </c>
      <c r="D29" s="29">
        <f>VLOOKUP($B29,'County Data'!$B$10:$L$46,6,FALSE)</f>
        <v>0.16579506987240691</v>
      </c>
      <c r="E29" s="31">
        <f t="shared" si="0"/>
        <v>15580.757486329312</v>
      </c>
      <c r="F29" s="6">
        <f t="shared" si="1"/>
        <v>2.8611142605921756E-2</v>
      </c>
      <c r="G29" s="14">
        <f t="shared" si="2"/>
        <v>60897.529535287191</v>
      </c>
      <c r="H29" s="10">
        <f t="shared" si="3"/>
        <v>0.6480115086329189</v>
      </c>
    </row>
    <row r="30" spans="2:8" x14ac:dyDescent="0.25">
      <c r="B30" s="20" t="str">
        <f>+'County Data'!$B$27</f>
        <v>Klamath</v>
      </c>
      <c r="C30" s="15">
        <f>VLOOKUP($B30,'County Data'!$B$10:$L$46,2,FALSE)</f>
        <v>69822</v>
      </c>
      <c r="D30" s="29">
        <f>VLOOKUP($B30,'County Data'!$B$10:$L$46,6,FALSE)</f>
        <v>0.15423187291068841</v>
      </c>
      <c r="E30" s="31">
        <f t="shared" si="0"/>
        <v>10768.777830370085</v>
      </c>
      <c r="F30" s="6">
        <f t="shared" si="1"/>
        <v>1.9774843326233846E-2</v>
      </c>
      <c r="G30" s="14">
        <f t="shared" si="2"/>
        <v>42089.864151939059</v>
      </c>
      <c r="H30" s="10">
        <f t="shared" si="3"/>
        <v>0.60281665022398467</v>
      </c>
    </row>
    <row r="31" spans="2:8" x14ac:dyDescent="0.25">
      <c r="B31" s="20" t="str">
        <f>+'County Data'!$B$37</f>
        <v>Polk</v>
      </c>
      <c r="C31" s="15">
        <f>VLOOKUP($B31,'County Data'!$B$10:$L$46,2,FALSE)</f>
        <v>88916</v>
      </c>
      <c r="D31" s="29">
        <f>VLOOKUP($B31,'County Data'!$B$10:$L$46,6,FALSE)</f>
        <v>0.13525315708721822</v>
      </c>
      <c r="E31" s="31">
        <f t="shared" si="0"/>
        <v>12026.169715567095</v>
      </c>
      <c r="F31" s="6">
        <f t="shared" si="1"/>
        <v>2.2083807994380793E-2</v>
      </c>
      <c r="G31" s="14">
        <f t="shared" si="2"/>
        <v>47004.391544679769</v>
      </c>
      <c r="H31" s="10">
        <f t="shared" si="3"/>
        <v>0.52863817023572546</v>
      </c>
    </row>
    <row r="32" spans="2:8" x14ac:dyDescent="0.25">
      <c r="B32" s="20" t="str">
        <f>+'County Data'!$B$46</f>
        <v>Yamhill</v>
      </c>
      <c r="C32" s="15">
        <f>VLOOKUP($B32,'County Data'!$B$10:$L$46,2,FALSE)</f>
        <v>108261</v>
      </c>
      <c r="D32" s="29">
        <f>VLOOKUP($B32,'County Data'!$B$10:$L$46,6,FALSE)</f>
        <v>0.13757576328862162</v>
      </c>
      <c r="E32" s="31">
        <f t="shared" si="0"/>
        <v>14894.089709389465</v>
      </c>
      <c r="F32" s="6">
        <f t="shared" si="1"/>
        <v>2.735020585710482E-2</v>
      </c>
      <c r="G32" s="14">
        <f t="shared" si="2"/>
        <v>58213.682407584041</v>
      </c>
      <c r="H32" s="10">
        <f t="shared" si="3"/>
        <v>0.5377160972795747</v>
      </c>
    </row>
    <row r="33" spans="2:8" x14ac:dyDescent="0.25">
      <c r="B33" s="20" t="str">
        <f>+'County Data'!$B$36</f>
        <v>Sherman, Wasco</v>
      </c>
      <c r="C33" s="15">
        <f>VLOOKUP($B33,'County Data'!$B$10:$L$46,2,FALSE)</f>
        <v>28489</v>
      </c>
      <c r="D33" s="29">
        <f>VLOOKUP($B33,'County Data'!$B$10:$L$46,6,FALSE)</f>
        <v>0.11924177396280401</v>
      </c>
      <c r="E33" s="31">
        <f t="shared" si="0"/>
        <v>3397.0788984263236</v>
      </c>
      <c r="F33" s="6">
        <f t="shared" si="1"/>
        <v>6.2380990713527401E-3</v>
      </c>
      <c r="G33" s="14">
        <f t="shared" si="2"/>
        <v>13277.513158916096</v>
      </c>
      <c r="H33" s="10">
        <f t="shared" si="3"/>
        <v>0.46605753655502458</v>
      </c>
    </row>
    <row r="34" spans="2:8" x14ac:dyDescent="0.25">
      <c r="B34" s="20" t="str">
        <f>+'County Data'!$B$35</f>
        <v>Multnomah</v>
      </c>
      <c r="C34" s="15">
        <f>VLOOKUP($B34,'County Data'!$B$10:$L$46,2,FALSE)</f>
        <v>0</v>
      </c>
      <c r="D34" s="29">
        <f>VLOOKUP($B34,'County Data'!$B$10:$L$46,6,FALSE)</f>
        <v>0.23949552335007265</v>
      </c>
      <c r="E34" s="31">
        <f t="shared" si="0"/>
        <v>0</v>
      </c>
      <c r="F34" s="6">
        <f t="shared" si="1"/>
        <v>0</v>
      </c>
      <c r="G34" s="14">
        <f t="shared" si="2"/>
        <v>0</v>
      </c>
      <c r="H34" s="10" t="e">
        <f t="shared" si="3"/>
        <v>#DIV/0!</v>
      </c>
    </row>
    <row r="35" spans="2:8" x14ac:dyDescent="0.25">
      <c r="B35" s="20" t="str">
        <f>+'County Data'!$B$44</f>
        <v>Washington</v>
      </c>
      <c r="C35" s="15">
        <f>VLOOKUP($B35,'County Data'!$B$10:$L$46,2,FALSE)</f>
        <v>605036</v>
      </c>
      <c r="D35" s="29">
        <f>VLOOKUP($B35,'County Data'!$B$10:$L$46,6,FALSE)</f>
        <v>0.26459939472372312</v>
      </c>
      <c r="E35" s="31">
        <f t="shared" si="0"/>
        <v>160092.15938606256</v>
      </c>
      <c r="F35" s="6">
        <f t="shared" si="1"/>
        <v>0.29397926296609711</v>
      </c>
      <c r="G35" s="14">
        <f t="shared" si="2"/>
        <v>625721.6321565042</v>
      </c>
      <c r="H35" s="10">
        <f t="shared" si="3"/>
        <v>1.0341890931390929</v>
      </c>
    </row>
    <row r="36" spans="2:8" x14ac:dyDescent="0.25">
      <c r="B36" s="20" t="str">
        <f>+'County Data'!$B$40</f>
        <v>Umatilla</v>
      </c>
      <c r="C36" s="15">
        <f>VLOOKUP($B36,'County Data'!$B$10:$L$46,2,FALSE)</f>
        <v>80463</v>
      </c>
      <c r="D36" s="29">
        <f>VLOOKUP($B36,'County Data'!$B$10:$L$46,6,FALSE)</f>
        <v>0.17466599412822204</v>
      </c>
      <c r="E36" s="31">
        <f t="shared" si="0"/>
        <v>14054.149885539129</v>
      </c>
      <c r="F36" s="6">
        <f t="shared" si="1"/>
        <v>2.5807813704370249E-2</v>
      </c>
      <c r="G36" s="14">
        <f t="shared" si="2"/>
        <v>54930.770118135377</v>
      </c>
      <c r="H36" s="10">
        <f t="shared" si="3"/>
        <v>0.68268359516964783</v>
      </c>
    </row>
    <row r="37" spans="2:8" x14ac:dyDescent="0.25">
      <c r="B37" s="20" t="str">
        <f>+'County Data'!$B$33</f>
        <v>Marion</v>
      </c>
      <c r="C37" s="15">
        <f>VLOOKUP($B37,'County Data'!$B$10:$L$46,2,FALSE)</f>
        <v>347182</v>
      </c>
      <c r="D37" s="29">
        <f>VLOOKUP($B37,'County Data'!$B$10:$L$46,6,FALSE)</f>
        <v>0.21668286098294651</v>
      </c>
      <c r="E37" s="31">
        <f t="shared" si="0"/>
        <v>75228.389041781338</v>
      </c>
      <c r="F37" s="6">
        <f t="shared" si="1"/>
        <v>0.13814284503026733</v>
      </c>
      <c r="G37" s="14">
        <f t="shared" si="2"/>
        <v>294030.82921889768</v>
      </c>
      <c r="H37" s="10">
        <f t="shared" si="3"/>
        <v>0.84690689384500828</v>
      </c>
    </row>
    <row r="38" spans="2:8" x14ac:dyDescent="0.25">
      <c r="B38" s="20" t="str">
        <f>+'County Data'!$B$23</f>
        <v>Hood River</v>
      </c>
      <c r="C38" s="15">
        <f>VLOOKUP($B38,'County Data'!$B$10:$L$46,2,FALSE)</f>
        <v>23888</v>
      </c>
      <c r="D38" s="29">
        <f>VLOOKUP($B38,'County Data'!$B$10:$L$46,6,FALSE)</f>
        <v>0.15251396648044693</v>
      </c>
      <c r="E38" s="31">
        <f t="shared" si="0"/>
        <v>3643.2536312849165</v>
      </c>
      <c r="F38" s="6">
        <f t="shared" si="1"/>
        <v>6.6901528558989528E-3</v>
      </c>
      <c r="G38" s="14">
        <f t="shared" si="2"/>
        <v>14239.689296902405</v>
      </c>
      <c r="H38" s="10">
        <f t="shared" si="3"/>
        <v>0.59610219762652394</v>
      </c>
    </row>
    <row r="39" spans="2:8" x14ac:dyDescent="0.25">
      <c r="B39" s="20" t="str">
        <f>+'County Data'!$B$32</f>
        <v>Malheur</v>
      </c>
      <c r="C39" s="15">
        <f>VLOOKUP($B39,'County Data'!$B$10:$L$46,2,FALSE)</f>
        <v>31995</v>
      </c>
      <c r="D39" s="29">
        <f>VLOOKUP($B39,'County Data'!$B$10:$L$46,6,FALSE)</f>
        <v>0.13397753982763125</v>
      </c>
      <c r="E39" s="31">
        <f t="shared" si="0"/>
        <v>4286.6113867850618</v>
      </c>
      <c r="F39" s="6">
        <f t="shared" si="1"/>
        <v>7.8715588629811525E-3</v>
      </c>
      <c r="G39" s="14">
        <f t="shared" si="2"/>
        <v>16754.258819706549</v>
      </c>
      <c r="H39" s="10">
        <f t="shared" si="3"/>
        <v>0.52365240880470543</v>
      </c>
    </row>
    <row r="40" spans="2:8" x14ac:dyDescent="0.25">
      <c r="B40" s="20" t="str">
        <f>+'County Data'!$B$34</f>
        <v>Morrow</v>
      </c>
      <c r="C40" s="15">
        <f>VLOOKUP($B40,'County Data'!$B$10:$L$46,2,FALSE)</f>
        <v>12635</v>
      </c>
      <c r="D40" s="29">
        <f>VLOOKUP($B40,'County Data'!$B$10:$L$46,6,FALSE)</f>
        <v>0.16428884026258206</v>
      </c>
      <c r="E40" s="31">
        <f t="shared" si="0"/>
        <v>2075.7894967177244</v>
      </c>
      <c r="F40" s="6">
        <f t="shared" si="1"/>
        <v>3.8117985831289188E-3</v>
      </c>
      <c r="G40" s="14">
        <f t="shared" si="2"/>
        <v>8113.2417532536629</v>
      </c>
      <c r="H40" s="10">
        <f t="shared" si="3"/>
        <v>0.64212439677512168</v>
      </c>
    </row>
    <row r="41" spans="2:8" x14ac:dyDescent="0.25">
      <c r="B41" s="20" t="str">
        <f>+'County Data'!$B$25</f>
        <v>Jefferson</v>
      </c>
      <c r="C41" s="15">
        <f>VLOOKUP($B41,'County Data'!$B$10:$L$46,2,FALSE)</f>
        <v>24889</v>
      </c>
      <c r="D41" s="29">
        <f>VLOOKUP($B41,'County Data'!$B$10:$L$46,6,FALSE)</f>
        <v>0.30663672654690621</v>
      </c>
      <c r="E41" s="31">
        <f t="shared" si="0"/>
        <v>7631.8814870259484</v>
      </c>
      <c r="F41" s="6">
        <f t="shared" si="1"/>
        <v>1.4014520781058415E-2</v>
      </c>
      <c r="G41" s="14">
        <f t="shared" si="2"/>
        <v>29829.276829047689</v>
      </c>
      <c r="H41" s="10">
        <f t="shared" si="3"/>
        <v>1.1984923793261155</v>
      </c>
    </row>
    <row r="42" spans="2:8" x14ac:dyDescent="0.25">
      <c r="B42" s="4" t="s">
        <v>2</v>
      </c>
      <c r="C42" s="5">
        <f>SUM(C7:C41)</f>
        <v>3445888</v>
      </c>
      <c r="D42" s="5"/>
      <c r="E42" s="5">
        <f>SUM(E7:E41)</f>
        <v>544569.56511427485</v>
      </c>
      <c r="F42" s="8">
        <f>SUM(F7:F41)</f>
        <v>1</v>
      </c>
      <c r="G42" s="11">
        <f>SUM(G7:G41)</f>
        <v>2128455</v>
      </c>
      <c r="H42" s="12">
        <f t="shared" ref="H42" si="8">G42/C42</f>
        <v>0.61767968082537794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2"/>
  <sheetViews>
    <sheetView topLeftCell="A4"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8" bestFit="1" customWidth="1"/>
    <col min="5" max="5" width="14.285156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14500000</v>
      </c>
    </row>
    <row r="4" spans="2:8" x14ac:dyDescent="0.25">
      <c r="B4" t="s">
        <v>41</v>
      </c>
      <c r="C4" s="14">
        <f>'County Data'!I9</f>
        <v>2128455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Data'!$B$35</f>
        <v>Multnomah</v>
      </c>
      <c r="C7" s="15">
        <f>VLOOKUP($B7,'County Data'!$B$10:$L$46,2,FALSE)</f>
        <v>0</v>
      </c>
      <c r="D7" s="29">
        <f>VLOOKUP($B7,'County Data'!$B$10:$L$46,8,FALSE)</f>
        <v>1.2999999999999999E-2</v>
      </c>
      <c r="E7" s="31">
        <f t="shared" ref="E7:E41" si="0">C7*D7</f>
        <v>0</v>
      </c>
      <c r="F7" s="6">
        <f t="shared" ref="F7:F41" si="1">IF(E7=0,0,E7/$E$42)</f>
        <v>0</v>
      </c>
      <c r="G7" s="14">
        <f t="shared" ref="G7:G41" si="2">$C$4*F7</f>
        <v>0</v>
      </c>
      <c r="H7" s="10" t="e">
        <f t="shared" ref="H7:H41" si="3">G7/C7</f>
        <v>#DIV/0!</v>
      </c>
    </row>
    <row r="8" spans="2:8" x14ac:dyDescent="0.25">
      <c r="B8" s="20" t="s">
        <v>89</v>
      </c>
      <c r="C8" s="15">
        <v>2039</v>
      </c>
      <c r="D8" s="29">
        <v>1</v>
      </c>
      <c r="E8" s="31">
        <f t="shared" ref="E8" si="4">C8*D8</f>
        <v>2039</v>
      </c>
      <c r="F8" s="6">
        <f t="shared" ref="F8" si="5">IF(E8=0,0,E8/$E$42)</f>
        <v>2.5775026575234343E-3</v>
      </c>
      <c r="G8" s="14">
        <f t="shared" ref="G8" si="6">$C$4*F8</f>
        <v>5486.0984189190413</v>
      </c>
      <c r="H8" s="10">
        <f t="shared" ref="H8" si="7">G8/C8</f>
        <v>2.6905828440014914</v>
      </c>
    </row>
    <row r="9" spans="2:8" x14ac:dyDescent="0.25">
      <c r="B9" s="20" t="str">
        <f>+'County Data'!$B$44</f>
        <v>Washington</v>
      </c>
      <c r="C9" s="15">
        <f>VLOOKUP($B9,'County Data'!$B$10:$L$46,2,FALSE)</f>
        <v>605036</v>
      </c>
      <c r="D9" s="29">
        <f>VLOOKUP($B9,'County Data'!$B$10:$L$46,8,FALSE)</f>
        <v>5.6000000000000001E-2</v>
      </c>
      <c r="E9" s="31">
        <f t="shared" si="0"/>
        <v>33882.016000000003</v>
      </c>
      <c r="F9" s="6">
        <f t="shared" si="1"/>
        <v>4.2830302247303345E-2</v>
      </c>
      <c r="G9" s="14">
        <f t="shared" si="2"/>
        <v>91162.370969784039</v>
      </c>
      <c r="H9" s="10">
        <f t="shared" si="3"/>
        <v>0.15067263926408353</v>
      </c>
    </row>
    <row r="10" spans="2:8" x14ac:dyDescent="0.25">
      <c r="B10" s="20" t="str">
        <f>+'County Data'!$B$33</f>
        <v>Marion</v>
      </c>
      <c r="C10" s="15">
        <f>VLOOKUP($B10,'County Data'!$B$10:$L$46,2,FALSE)</f>
        <v>347182</v>
      </c>
      <c r="D10" s="29">
        <f>VLOOKUP($B10,'County Data'!$B$10:$L$46,8,FALSE)</f>
        <v>0.13100000000000001</v>
      </c>
      <c r="E10" s="31">
        <f t="shared" si="0"/>
        <v>45480.842000000004</v>
      </c>
      <c r="F10" s="6">
        <f t="shared" si="1"/>
        <v>5.7492393880040918E-2</v>
      </c>
      <c r="G10" s="14">
        <f t="shared" si="2"/>
        <v>122369.97321594249</v>
      </c>
      <c r="H10" s="10">
        <f t="shared" si="3"/>
        <v>0.3524663525641954</v>
      </c>
    </row>
    <row r="11" spans="2:8" x14ac:dyDescent="0.25">
      <c r="B11" s="20" t="str">
        <f>+'County Data'!$B$29</f>
        <v>Lane</v>
      </c>
      <c r="C11" s="15">
        <f>VLOOKUP($B11,'County Data'!$B$10:$L$46,2,FALSE)</f>
        <v>382647</v>
      </c>
      <c r="D11" s="29">
        <f>VLOOKUP($B11,'County Data'!$B$10:$L$46,8,FALSE)</f>
        <v>0.17499999999999999</v>
      </c>
      <c r="E11" s="31">
        <f t="shared" si="0"/>
        <v>66963.224999999991</v>
      </c>
      <c r="F11" s="6">
        <f t="shared" si="1"/>
        <v>8.4648303282903209E-2</v>
      </c>
      <c r="G11" s="14">
        <f t="shared" si="2"/>
        <v>180170.10436401176</v>
      </c>
      <c r="H11" s="10">
        <f t="shared" si="3"/>
        <v>0.47085199770026098</v>
      </c>
    </row>
    <row r="12" spans="2:8" x14ac:dyDescent="0.25">
      <c r="B12" s="20" t="str">
        <f>+'County Data'!$B$12</f>
        <v>Clackamas</v>
      </c>
      <c r="C12" s="15">
        <f>VLOOKUP($B12,'County Data'!$B$10:$L$46,2,FALSE)</f>
        <v>425316</v>
      </c>
      <c r="D12" s="29">
        <f>VLOOKUP($B12,'County Data'!$B$10:$L$46,8,FALSE)</f>
        <v>0.18099999999999999</v>
      </c>
      <c r="E12" s="31">
        <f t="shared" si="0"/>
        <v>76982.195999999996</v>
      </c>
      <c r="F12" s="6">
        <f t="shared" si="1"/>
        <v>9.7313298073560511E-2</v>
      </c>
      <c r="G12" s="14">
        <f t="shared" si="2"/>
        <v>207126.97585116024</v>
      </c>
      <c r="H12" s="10">
        <f t="shared" si="3"/>
        <v>0.48699549476426995</v>
      </c>
    </row>
    <row r="13" spans="2:8" x14ac:dyDescent="0.25">
      <c r="B13" s="20" t="str">
        <f>+'County Data'!$B$11</f>
        <v>Benton</v>
      </c>
      <c r="C13" s="15">
        <f>VLOOKUP($B13,'County Data'!$B$10:$L$46,2,FALSE)</f>
        <v>93976</v>
      </c>
      <c r="D13" s="29">
        <f>VLOOKUP($B13,'County Data'!$B$10:$L$46,8,FALSE)</f>
        <v>0.188</v>
      </c>
      <c r="E13" s="31">
        <f t="shared" si="0"/>
        <v>17667.488000000001</v>
      </c>
      <c r="F13" s="6">
        <f t="shared" si="1"/>
        <v>2.2333495474136041E-2</v>
      </c>
      <c r="G13" s="14">
        <f t="shared" si="2"/>
        <v>47535.840109402227</v>
      </c>
      <c r="H13" s="10">
        <f t="shared" si="3"/>
        <v>0.5058295746722804</v>
      </c>
    </row>
    <row r="14" spans="2:8" x14ac:dyDescent="0.25">
      <c r="B14" s="20" t="str">
        <f>+'County Data'!$B$37</f>
        <v>Polk</v>
      </c>
      <c r="C14" s="15">
        <f>VLOOKUP($B14,'County Data'!$B$10:$L$46,2,FALSE)</f>
        <v>88916</v>
      </c>
      <c r="D14" s="29">
        <f>VLOOKUP($B14,'County Data'!$B$10:$L$46,8,FALSE)</f>
        <v>0.19900000000000001</v>
      </c>
      <c r="E14" s="31">
        <f t="shared" si="0"/>
        <v>17694.284</v>
      </c>
      <c r="F14" s="6">
        <f t="shared" si="1"/>
        <v>2.2367368333974683E-2</v>
      </c>
      <c r="G14" s="14">
        <f t="shared" si="2"/>
        <v>47607.936967290087</v>
      </c>
      <c r="H14" s="10">
        <f t="shared" si="3"/>
        <v>0.53542598595629676</v>
      </c>
    </row>
    <row r="15" spans="2:8" x14ac:dyDescent="0.25">
      <c r="B15" s="20" t="str">
        <f>+'County Data'!$B$24</f>
        <v>Jackson</v>
      </c>
      <c r="C15" s="15">
        <f>VLOOKUP($B15,'County Data'!$B$10:$L$46,2,FALSE)</f>
        <v>223827</v>
      </c>
      <c r="D15" s="29">
        <f>VLOOKUP($B15,'County Data'!$B$10:$L$46,8,FALSE)</f>
        <v>0.20100000000000001</v>
      </c>
      <c r="E15" s="31">
        <f t="shared" si="0"/>
        <v>44989.227000000006</v>
      </c>
      <c r="F15" s="6">
        <f t="shared" si="1"/>
        <v>5.6870942693685658E-2</v>
      </c>
      <c r="G15" s="14">
        <f t="shared" si="2"/>
        <v>121047.24233108871</v>
      </c>
      <c r="H15" s="10">
        <f t="shared" si="3"/>
        <v>0.54080715164429993</v>
      </c>
    </row>
    <row r="16" spans="2:8" x14ac:dyDescent="0.25">
      <c r="B16" s="20" t="str">
        <f>+'County Data'!$B$46</f>
        <v>Yamhill</v>
      </c>
      <c r="C16" s="15">
        <f>VLOOKUP($B16,'County Data'!$B$10:$L$46,2,FALSE)</f>
        <v>108261</v>
      </c>
      <c r="D16" s="29">
        <f>VLOOKUP($B16,'County Data'!$B$10:$L$46,8,FALSE)</f>
        <v>0.22600000000000001</v>
      </c>
      <c r="E16" s="31">
        <f t="shared" si="0"/>
        <v>24466.986000000001</v>
      </c>
      <c r="F16" s="6">
        <f t="shared" si="1"/>
        <v>3.0928750091509888E-2</v>
      </c>
      <c r="G16" s="14">
        <f t="shared" si="2"/>
        <v>65830.452776024686</v>
      </c>
      <c r="H16" s="10">
        <f t="shared" si="3"/>
        <v>0.60807172274433718</v>
      </c>
    </row>
    <row r="17" spans="2:8" x14ac:dyDescent="0.25">
      <c r="B17" s="20" t="str">
        <f>+'County Data'!$B$18</f>
        <v>Deschutes</v>
      </c>
      <c r="C17" s="15">
        <f>VLOOKUP($B17,'County Data'!$B$10:$L$46,2,FALSE)</f>
        <v>203390</v>
      </c>
      <c r="D17" s="29">
        <f>VLOOKUP($B17,'County Data'!$B$10:$L$46,8,FALSE)</f>
        <v>0.27600000000000002</v>
      </c>
      <c r="E17" s="31">
        <f t="shared" si="0"/>
        <v>56135.640000000007</v>
      </c>
      <c r="F17" s="6">
        <f t="shared" si="1"/>
        <v>7.0961138441284363E-2</v>
      </c>
      <c r="G17" s="14">
        <f t="shared" si="2"/>
        <v>151037.58992104392</v>
      </c>
      <c r="H17" s="10">
        <f t="shared" si="3"/>
        <v>0.7426008649444118</v>
      </c>
    </row>
    <row r="18" spans="2:8" x14ac:dyDescent="0.25">
      <c r="B18" s="20" t="str">
        <f>+'County Data'!$B$40</f>
        <v>Umatilla</v>
      </c>
      <c r="C18" s="15">
        <f>VLOOKUP($B18,'County Data'!$B$10:$L$46,2,FALSE)</f>
        <v>80463</v>
      </c>
      <c r="D18" s="29">
        <f>VLOOKUP($B18,'County Data'!$B$10:$L$46,8,FALSE)</f>
        <v>0.29099999999999998</v>
      </c>
      <c r="E18" s="31">
        <f t="shared" si="0"/>
        <v>23414.733</v>
      </c>
      <c r="F18" s="6">
        <f t="shared" si="1"/>
        <v>2.9598595651153334E-2</v>
      </c>
      <c r="G18" s="14">
        <f t="shared" si="2"/>
        <v>62999.278906675572</v>
      </c>
      <c r="H18" s="10">
        <f t="shared" si="3"/>
        <v>0.78295960760443395</v>
      </c>
    </row>
    <row r="19" spans="2:8" x14ac:dyDescent="0.25">
      <c r="B19" s="20" t="str">
        <f>+'County Data'!$B$31</f>
        <v>Linn</v>
      </c>
      <c r="C19" s="15">
        <f>VLOOKUP($B19,'County Data'!$B$10:$L$46,2,FALSE)</f>
        <v>130440</v>
      </c>
      <c r="D19" s="29">
        <f>VLOOKUP($B19,'County Data'!$B$10:$L$46,8,FALSE)</f>
        <v>0.316</v>
      </c>
      <c r="E19" s="31">
        <f t="shared" si="0"/>
        <v>41219.040000000001</v>
      </c>
      <c r="F19" s="6">
        <f t="shared" si="1"/>
        <v>5.210504420822204E-2</v>
      </c>
      <c r="G19" s="14">
        <f t="shared" si="2"/>
        <v>110903.24187021125</v>
      </c>
      <c r="H19" s="10">
        <f t="shared" si="3"/>
        <v>0.85022417870447142</v>
      </c>
    </row>
    <row r="20" spans="2:8" x14ac:dyDescent="0.25">
      <c r="B20" s="20" t="str">
        <f>+'County Data'!$B$27</f>
        <v>Klamath</v>
      </c>
      <c r="C20" s="15">
        <f>VLOOKUP($B20,'County Data'!$B$10:$L$46,2,FALSE)</f>
        <v>69822</v>
      </c>
      <c r="D20" s="29">
        <f>VLOOKUP($B20,'County Data'!$B$10:$L$46,8,FALSE)</f>
        <v>0.376</v>
      </c>
      <c r="E20" s="31">
        <f t="shared" si="0"/>
        <v>26253.072</v>
      </c>
      <c r="F20" s="6">
        <f t="shared" si="1"/>
        <v>3.3186543819594926E-2</v>
      </c>
      <c r="G20" s="14">
        <f t="shared" si="2"/>
        <v>70636.065125535912</v>
      </c>
      <c r="H20" s="10">
        <f t="shared" si="3"/>
        <v>1.0116591493445606</v>
      </c>
    </row>
    <row r="21" spans="2:8" x14ac:dyDescent="0.25">
      <c r="B21" s="20" t="str">
        <f>+'County Data'!$B$30</f>
        <v>Lincoln</v>
      </c>
      <c r="C21" s="15">
        <f>VLOOKUP($B21,'County Data'!$B$10:$L$46,2,FALSE)</f>
        <v>50903</v>
      </c>
      <c r="D21" s="29">
        <f>VLOOKUP($B21,'County Data'!$B$10:$L$46,8,FALSE)</f>
        <v>0.376</v>
      </c>
      <c r="E21" s="31">
        <f t="shared" si="0"/>
        <v>19139.527999999998</v>
      </c>
      <c r="F21" s="6">
        <f t="shared" si="1"/>
        <v>2.4194303228908375E-2</v>
      </c>
      <c r="G21" s="14">
        <f t="shared" si="2"/>
        <v>51496.485679086174</v>
      </c>
      <c r="H21" s="10">
        <f t="shared" si="3"/>
        <v>1.0116591493445608</v>
      </c>
    </row>
    <row r="22" spans="2:8" x14ac:dyDescent="0.25">
      <c r="B22" s="20" t="str">
        <f>+'County Data'!$B$15</f>
        <v>Coos</v>
      </c>
      <c r="C22" s="15">
        <f>VLOOKUP($B22,'County Data'!$B$10:$L$46,2,FALSE)</f>
        <v>65154</v>
      </c>
      <c r="D22" s="29">
        <f>VLOOKUP($B22,'County Data'!$B$10:$L$46,8,FALSE)</f>
        <v>0.38400000000000001</v>
      </c>
      <c r="E22" s="31">
        <f t="shared" si="0"/>
        <v>25019.136000000002</v>
      </c>
      <c r="F22" s="6">
        <f t="shared" si="1"/>
        <v>3.1626723653232089E-2</v>
      </c>
      <c r="G22" s="14">
        <f t="shared" si="2"/>
        <v>67316.058093340107</v>
      </c>
      <c r="H22" s="10">
        <f t="shared" si="3"/>
        <v>1.0331838120965728</v>
      </c>
    </row>
    <row r="23" spans="2:8" x14ac:dyDescent="0.25">
      <c r="B23" s="20" t="str">
        <f>+'County Data'!$B$17</f>
        <v>Curry</v>
      </c>
      <c r="C23" s="15">
        <f>VLOOKUP($B23,'County Data'!$B$10:$L$46,2,FALSE)</f>
        <v>23662</v>
      </c>
      <c r="D23" s="29">
        <f>VLOOKUP($B23,'County Data'!$B$10:$L$46,8,FALSE)</f>
        <v>0.38700000000000001</v>
      </c>
      <c r="E23" s="31">
        <f t="shared" si="0"/>
        <v>9157.1939999999995</v>
      </c>
      <c r="F23" s="6">
        <f t="shared" si="1"/>
        <v>1.1575621319498599E-2</v>
      </c>
      <c r="G23" s="14">
        <f t="shared" si="2"/>
        <v>24638.189075593389</v>
      </c>
      <c r="H23" s="10">
        <f t="shared" si="3"/>
        <v>1.0412555606285769</v>
      </c>
    </row>
    <row r="24" spans="2:8" x14ac:dyDescent="0.25">
      <c r="B24" s="20" t="str">
        <f>+'County Data'!$B$13</f>
        <v>Clatsop</v>
      </c>
      <c r="C24" s="15">
        <f>VLOOKUP($B24,'County Data'!$B$10:$L$46,2,FALSE)</f>
        <v>41428</v>
      </c>
      <c r="D24" s="29">
        <f>VLOOKUP($B24,'County Data'!$B$10:$L$46,8,FALSE)</f>
        <v>0.39</v>
      </c>
      <c r="E24" s="31">
        <f t="shared" si="0"/>
        <v>16156.92</v>
      </c>
      <c r="F24" s="6">
        <f t="shared" si="1"/>
        <v>2.0423984422458814E-2</v>
      </c>
      <c r="G24" s="14">
        <f t="shared" si="2"/>
        <v>43471.531763904575</v>
      </c>
      <c r="H24" s="10">
        <f t="shared" si="3"/>
        <v>1.0493273091605817</v>
      </c>
    </row>
    <row r="25" spans="2:8" x14ac:dyDescent="0.25">
      <c r="B25" s="20" t="str">
        <f>+'County Data'!$B$10</f>
        <v>Baker</v>
      </c>
      <c r="C25" s="15">
        <f>VLOOKUP($B25,'County Data'!$B$10:$L$46,2,FALSE)</f>
        <v>16860</v>
      </c>
      <c r="D25" s="29">
        <f>VLOOKUP($B25,'County Data'!$B$10:$L$46,8,FALSE)</f>
        <v>0.41</v>
      </c>
      <c r="E25" s="31">
        <f t="shared" si="0"/>
        <v>6912.5999999999995</v>
      </c>
      <c r="F25" s="6">
        <f t="shared" si="1"/>
        <v>8.7382270085318726E-3</v>
      </c>
      <c r="G25" s="14">
        <f t="shared" si="2"/>
        <v>18598.922967444705</v>
      </c>
      <c r="H25" s="10">
        <f t="shared" si="3"/>
        <v>1.1031389660406112</v>
      </c>
    </row>
    <row r="26" spans="2:8" x14ac:dyDescent="0.25">
      <c r="B26" s="20" t="str">
        <f>+'County Data'!$B$19</f>
        <v>Douglas</v>
      </c>
      <c r="C26" s="15">
        <f>VLOOKUP($B26,'County Data'!$B$10:$L$46,2,FALSE)</f>
        <v>111694</v>
      </c>
      <c r="D26" s="29">
        <f>VLOOKUP($B26,'County Data'!$B$10:$L$46,8,FALSE)</f>
        <v>0.41199999999999998</v>
      </c>
      <c r="E26" s="31">
        <f t="shared" si="0"/>
        <v>46017.928</v>
      </c>
      <c r="F26" s="6">
        <f t="shared" si="1"/>
        <v>5.8171325018990708E-2</v>
      </c>
      <c r="G26" s="14">
        <f t="shared" si="2"/>
        <v>123815.04759329587</v>
      </c>
      <c r="H26" s="10">
        <f t="shared" si="3"/>
        <v>1.1085201317286144</v>
      </c>
    </row>
    <row r="27" spans="2:8" x14ac:dyDescent="0.25">
      <c r="B27" s="20" t="str">
        <f>+'County Data'!$B$36</f>
        <v>Sherman, Wasco</v>
      </c>
      <c r="C27" s="15">
        <f>VLOOKUP($B27,'County Data'!$B$10:$L$46,2,FALSE)</f>
        <v>28489</v>
      </c>
      <c r="D27" s="29">
        <f>VLOOKUP($B27,'County Data'!$B$10:$L$46,8,FALSE)</f>
        <v>0.41499999999999998</v>
      </c>
      <c r="E27" s="31">
        <f t="shared" si="0"/>
        <v>11822.934999999999</v>
      </c>
      <c r="F27" s="6">
        <f t="shared" si="1"/>
        <v>1.4945388122720364E-2</v>
      </c>
      <c r="G27" s="14">
        <f t="shared" si="2"/>
        <v>31810.58607674477</v>
      </c>
      <c r="H27" s="10">
        <f t="shared" si="3"/>
        <v>1.116591880260619</v>
      </c>
    </row>
    <row r="28" spans="2:8" x14ac:dyDescent="0.25">
      <c r="B28" s="20" t="str">
        <f>+'County Data'!$B$41</f>
        <v>Union</v>
      </c>
      <c r="C28" s="15">
        <f>VLOOKUP($B28,'County Data'!$B$10:$L$46,2,FALSE)</f>
        <v>26295</v>
      </c>
      <c r="D28" s="29">
        <f>VLOOKUP($B28,'County Data'!$B$10:$L$46,8,FALSE)</f>
        <v>0.42099999999999999</v>
      </c>
      <c r="E28" s="31">
        <f t="shared" si="0"/>
        <v>11070.195</v>
      </c>
      <c r="F28" s="6">
        <f t="shared" si="1"/>
        <v>1.3993848470722232E-2</v>
      </c>
      <c r="G28" s="14">
        <f t="shared" si="2"/>
        <v>29785.276746751089</v>
      </c>
      <c r="H28" s="10">
        <f t="shared" si="3"/>
        <v>1.1327353773246278</v>
      </c>
    </row>
    <row r="29" spans="2:8" x14ac:dyDescent="0.25">
      <c r="B29" s="20" t="str">
        <f>+'County Data'!$B$14</f>
        <v>Columbia</v>
      </c>
      <c r="C29" s="15">
        <f>VLOOKUP($B29,'County Data'!$B$10:$L$46,2,FALSE)</f>
        <v>53014</v>
      </c>
      <c r="D29" s="29">
        <f>VLOOKUP($B29,'County Data'!$B$10:$L$46,8,FALSE)</f>
        <v>0.436</v>
      </c>
      <c r="E29" s="31">
        <f t="shared" si="0"/>
        <v>23114.103999999999</v>
      </c>
      <c r="F29" s="6">
        <f t="shared" si="1"/>
        <v>2.9218570125685649E-2</v>
      </c>
      <c r="G29" s="14">
        <f t="shared" si="2"/>
        <v>62190.41167686625</v>
      </c>
      <c r="H29" s="10">
        <f t="shared" si="3"/>
        <v>1.1730941199846503</v>
      </c>
    </row>
    <row r="30" spans="2:8" x14ac:dyDescent="0.25">
      <c r="B30" s="20" t="str">
        <f>+'County Data'!$B$22</f>
        <v>Harney</v>
      </c>
      <c r="C30" s="15">
        <f>VLOOKUP($B30,'County Data'!$B$10:$L$46,2,FALSE)</f>
        <v>7537</v>
      </c>
      <c r="D30" s="29">
        <f>VLOOKUP($B30,'County Data'!$B$10:$L$46,8,FALSE)</f>
        <v>0.443</v>
      </c>
      <c r="E30" s="31">
        <f t="shared" si="0"/>
        <v>3338.8910000000001</v>
      </c>
      <c r="F30" s="6">
        <f t="shared" si="1"/>
        <v>4.2206966285831668E-3</v>
      </c>
      <c r="G30" s="14">
        <f t="shared" si="2"/>
        <v>8983.5628425909836</v>
      </c>
      <c r="H30" s="10">
        <f t="shared" si="3"/>
        <v>1.1919281998926607</v>
      </c>
    </row>
    <row r="31" spans="2:8" x14ac:dyDescent="0.25">
      <c r="B31" s="20" t="str">
        <f>+'County Data'!$B$26</f>
        <v>Josephine</v>
      </c>
      <c r="C31" s="15">
        <f>VLOOKUP($B31,'County Data'!$B$10:$L$46,2,FALSE)</f>
        <v>88728</v>
      </c>
      <c r="D31" s="29">
        <f>VLOOKUP($B31,'County Data'!$B$10:$L$46,8,FALSE)</f>
        <v>0.45</v>
      </c>
      <c r="E31" s="31">
        <f t="shared" si="0"/>
        <v>39927.599999999999</v>
      </c>
      <c r="F31" s="6">
        <f t="shared" si="1"/>
        <v>5.0472533157691353E-2</v>
      </c>
      <c r="G31" s="14">
        <f t="shared" si="2"/>
        <v>107428.51556215395</v>
      </c>
      <c r="H31" s="10">
        <f t="shared" si="3"/>
        <v>1.2107622798006712</v>
      </c>
    </row>
    <row r="32" spans="2:8" x14ac:dyDescent="0.25">
      <c r="B32" s="20" t="str">
        <f>+'County Data'!$B$34</f>
        <v>Morrow</v>
      </c>
      <c r="C32" s="15">
        <f>VLOOKUP($B32,'County Data'!$B$10:$L$46,2,FALSE)</f>
        <v>12635</v>
      </c>
      <c r="D32" s="29">
        <f>VLOOKUP($B32,'County Data'!$B$10:$L$46,8,FALSE)</f>
        <v>0.45900000000000002</v>
      </c>
      <c r="E32" s="31">
        <f t="shared" si="0"/>
        <v>5799.4650000000001</v>
      </c>
      <c r="F32" s="6">
        <f t="shared" si="1"/>
        <v>7.3311115496391089E-3</v>
      </c>
      <c r="G32" s="14">
        <f t="shared" si="2"/>
        <v>15603.941033387109</v>
      </c>
      <c r="H32" s="10">
        <f t="shared" si="3"/>
        <v>1.2349775253966846</v>
      </c>
    </row>
    <row r="33" spans="2:8" x14ac:dyDescent="0.25">
      <c r="B33" s="20" t="str">
        <f>+'County Data'!$B$16</f>
        <v>Crook</v>
      </c>
      <c r="C33" s="15">
        <f>VLOOKUP($B33,'County Data'!$B$10:$L$46,2,FALSE)</f>
        <v>25482</v>
      </c>
      <c r="D33" s="29">
        <f>VLOOKUP($B33,'County Data'!$B$10:$L$46,8,FALSE)</f>
        <v>0.48</v>
      </c>
      <c r="E33" s="31">
        <f t="shared" si="0"/>
        <v>12231.359999999999</v>
      </c>
      <c r="F33" s="6">
        <f t="shared" si="1"/>
        <v>1.5461678717570293E-2</v>
      </c>
      <c r="G33" s="14">
        <f t="shared" si="2"/>
        <v>32909.487374806078</v>
      </c>
      <c r="H33" s="10">
        <f t="shared" si="3"/>
        <v>1.2914797651207157</v>
      </c>
    </row>
    <row r="34" spans="2:8" x14ac:dyDescent="0.25">
      <c r="B34" s="20" t="str">
        <f>+'County Data'!$B$32</f>
        <v>Malheur</v>
      </c>
      <c r="C34" s="15">
        <f>VLOOKUP($B34,'County Data'!$B$10:$L$46,2,FALSE)</f>
        <v>31995</v>
      </c>
      <c r="D34" s="29">
        <f>VLOOKUP($B34,'County Data'!$B$10:$L$46,8,FALSE)</f>
        <v>0.48399999999999999</v>
      </c>
      <c r="E34" s="31">
        <f t="shared" si="0"/>
        <v>15485.58</v>
      </c>
      <c r="F34" s="6">
        <f t="shared" si="1"/>
        <v>1.9575342620545239E-2</v>
      </c>
      <c r="G34" s="14">
        <f t="shared" si="2"/>
        <v>41665.235877412619</v>
      </c>
      <c r="H34" s="10">
        <f t="shared" si="3"/>
        <v>1.3022420964967218</v>
      </c>
    </row>
    <row r="35" spans="2:8" x14ac:dyDescent="0.25">
      <c r="B35" s="20" t="str">
        <f>+'County Data'!$B$23</f>
        <v>Hood River</v>
      </c>
      <c r="C35" s="15">
        <f>VLOOKUP($B35,'County Data'!$B$10:$L$46,2,FALSE)</f>
        <v>23888</v>
      </c>
      <c r="D35" s="29">
        <f>VLOOKUP($B35,'County Data'!$B$10:$L$46,8,FALSE)</f>
        <v>0.52200000000000002</v>
      </c>
      <c r="E35" s="31">
        <f t="shared" si="0"/>
        <v>12469.536</v>
      </c>
      <c r="F35" s="6">
        <f t="shared" si="1"/>
        <v>1.5762757321277163E-2</v>
      </c>
      <c r="G35" s="14">
        <f t="shared" si="2"/>
        <v>33550.319634258987</v>
      </c>
      <c r="H35" s="10">
        <f t="shared" si="3"/>
        <v>1.4044842445687789</v>
      </c>
    </row>
    <row r="36" spans="2:8" x14ac:dyDescent="0.25">
      <c r="B36" s="20" t="str">
        <f>+'County Data'!$B$25</f>
        <v>Jefferson</v>
      </c>
      <c r="C36" s="15">
        <f>VLOOKUP($B36,'County Data'!$B$10:$L$46,2,FALSE)</f>
        <v>24889</v>
      </c>
      <c r="D36" s="29">
        <f>VLOOKUP($B36,'County Data'!$B$10:$L$46,8,FALSE)</f>
        <v>0.63100000000000001</v>
      </c>
      <c r="E36" s="31">
        <f t="shared" si="0"/>
        <v>15704.959000000001</v>
      </c>
      <c r="F36" s="6">
        <f t="shared" si="1"/>
        <v>1.9852659911131228E-2</v>
      </c>
      <c r="G36" s="14">
        <f t="shared" si="2"/>
        <v>42255.493251146814</v>
      </c>
      <c r="H36" s="10">
        <f t="shared" si="3"/>
        <v>1.6977577745649408</v>
      </c>
    </row>
    <row r="37" spans="2:8" x14ac:dyDescent="0.25">
      <c r="B37" s="20" t="str">
        <f>+'County Data'!$B$28</f>
        <v>Lake</v>
      </c>
      <c r="C37" s="15">
        <f>VLOOKUP($B37,'County Data'!$B$10:$L$46,2,FALSE)</f>
        <v>8177</v>
      </c>
      <c r="D37" s="29">
        <f>VLOOKUP($B37,'County Data'!$B$10:$L$46,8,FALSE)</f>
        <v>0.63300000000000001</v>
      </c>
      <c r="E37" s="31">
        <f t="shared" si="0"/>
        <v>5176.0410000000002</v>
      </c>
      <c r="F37" s="6">
        <f t="shared" si="1"/>
        <v>6.5430404281266574E-3</v>
      </c>
      <c r="G37" s="14">
        <f t="shared" si="2"/>
        <v>13926.567114448324</v>
      </c>
      <c r="H37" s="10">
        <f t="shared" si="3"/>
        <v>1.7031389402529442</v>
      </c>
    </row>
    <row r="38" spans="2:8" x14ac:dyDescent="0.25">
      <c r="B38" s="20" t="str">
        <f>+'County Data'!$B$39</f>
        <v>Tillamook</v>
      </c>
      <c r="C38" s="15">
        <f>VLOOKUP($B38,'County Data'!$B$10:$L$46,2,FALSE)</f>
        <v>27628</v>
      </c>
      <c r="D38" s="29">
        <f>VLOOKUP($B38,'County Data'!$B$10:$L$46,8,FALSE)</f>
        <v>0.69599999999999995</v>
      </c>
      <c r="E38" s="31">
        <f t="shared" si="0"/>
        <v>19229.088</v>
      </c>
      <c r="F38" s="6">
        <f t="shared" si="1"/>
        <v>2.4307516146028434E-2</v>
      </c>
      <c r="G38" s="14">
        <f t="shared" si="2"/>
        <v>51737.454278594952</v>
      </c>
      <c r="H38" s="10">
        <f t="shared" si="3"/>
        <v>1.872645659425038</v>
      </c>
    </row>
    <row r="39" spans="2:8" x14ac:dyDescent="0.25">
      <c r="B39" s="20" t="str">
        <f>+'County Data'!$B$21</f>
        <v>Grant</v>
      </c>
      <c r="C39" s="15">
        <f>VLOOKUP($B39,'County Data'!$B$10:$L$46,2,FALSE)</f>
        <v>7226</v>
      </c>
      <c r="D39" s="29">
        <f>VLOOKUP($B39,'County Data'!$B$10:$L$46,8,FALSE)</f>
        <v>1</v>
      </c>
      <c r="E39" s="31">
        <f t="shared" si="0"/>
        <v>7226</v>
      </c>
      <c r="F39" s="6">
        <f t="shared" si="1"/>
        <v>9.1343963723709339E-3</v>
      </c>
      <c r="G39" s="14">
        <f t="shared" si="2"/>
        <v>19442.151630754775</v>
      </c>
      <c r="H39" s="10">
        <f t="shared" si="3"/>
        <v>2.6905828440014914</v>
      </c>
    </row>
    <row r="40" spans="2:8" x14ac:dyDescent="0.25">
      <c r="B40" s="20" t="str">
        <f>+'County Data'!$B$42</f>
        <v>Wallowa</v>
      </c>
      <c r="C40" s="15">
        <f>VLOOKUP($B40,'County Data'!$B$10:$L$46,2,FALSE)</f>
        <v>7433</v>
      </c>
      <c r="D40" s="29">
        <f>VLOOKUP($B40,'County Data'!$B$10:$L$46,8,FALSE)</f>
        <v>1</v>
      </c>
      <c r="E40" s="31">
        <f t="shared" si="0"/>
        <v>7433</v>
      </c>
      <c r="F40" s="6">
        <f t="shared" si="1"/>
        <v>9.3960653523156874E-3</v>
      </c>
      <c r="G40" s="14">
        <f t="shared" si="2"/>
        <v>19999.102279463088</v>
      </c>
      <c r="H40" s="10">
        <f t="shared" si="3"/>
        <v>2.6905828440014918</v>
      </c>
    </row>
    <row r="41" spans="2:8" x14ac:dyDescent="0.25">
      <c r="B41" s="20" t="str">
        <f>'County Data'!$B$45</f>
        <v>Wheeler</v>
      </c>
      <c r="C41" s="15">
        <f>VLOOKUP($B41,'County Data'!$B$10:$L$46,2,FALSE)</f>
        <v>1456</v>
      </c>
      <c r="D41" s="29">
        <f>VLOOKUP($B41,'County Data'!$B$10:$L$46,8,FALSE)</f>
        <v>1</v>
      </c>
      <c r="E41" s="31">
        <f t="shared" si="0"/>
        <v>1456</v>
      </c>
      <c r="F41" s="6">
        <f t="shared" si="1"/>
        <v>1.84053156908E-3</v>
      </c>
      <c r="G41" s="14">
        <f t="shared" si="2"/>
        <v>3917.4886208661715</v>
      </c>
      <c r="H41" s="10">
        <f t="shared" si="3"/>
        <v>2.6905828440014914</v>
      </c>
    </row>
    <row r="42" spans="2:8" x14ac:dyDescent="0.25">
      <c r="B42" s="4" t="s">
        <v>2</v>
      </c>
      <c r="C42" s="5">
        <f>SUM(C7:C41)</f>
        <v>3445888</v>
      </c>
      <c r="D42" s="5">
        <f>SUM(D7:D41)</f>
        <v>15.057999999999998</v>
      </c>
      <c r="E42" s="5">
        <f>SUM(E7:E41)</f>
        <v>791075.80899999978</v>
      </c>
      <c r="F42" s="8">
        <f>SUM(F7:F41)</f>
        <v>1.0000000000000007</v>
      </c>
      <c r="G42" s="11">
        <f>SUM(G7:G41)</f>
        <v>2128455.0000000005</v>
      </c>
      <c r="H42" s="12">
        <f t="shared" ref="H42" si="8">G42/C42</f>
        <v>0.61767968082537805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Input</vt:lpstr>
      <vt:lpstr>Summary</vt:lpstr>
      <vt:lpstr>County Data</vt:lpstr>
      <vt:lpstr>Population</vt:lpstr>
      <vt:lpstr>Floor</vt:lpstr>
      <vt:lpstr>Burden</vt:lpstr>
      <vt:lpstr>Health Status</vt:lpstr>
      <vt:lpstr>Ethnicity</vt:lpstr>
      <vt:lpstr>Rurality</vt:lpstr>
      <vt:lpstr>Poverty</vt:lpstr>
      <vt:lpstr>Education</vt:lpstr>
      <vt:lpstr>Language</vt:lpstr>
      <vt:lpstr>Matching</vt:lpstr>
      <vt:lpstr>Incentives</vt:lpstr>
      <vt:lpstr>'County Data'!Print_Area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Christopher J</dc:creator>
  <cp:lastModifiedBy>Sara Beaudrault</cp:lastModifiedBy>
  <cp:lastPrinted>2018-05-15T16:28:56Z</cp:lastPrinted>
  <dcterms:created xsi:type="dcterms:W3CDTF">2016-05-10T19:52:04Z</dcterms:created>
  <dcterms:modified xsi:type="dcterms:W3CDTF">2022-07-14T17:36:13Z</dcterms:modified>
</cp:coreProperties>
</file>