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LPHA PE\"/>
    </mc:Choice>
  </mc:AlternateContent>
  <xr:revisionPtr revIDLastSave="0" documentId="8_{96591772-0806-472F-9DA6-E78F1E28943B}" xr6:coauthVersionLast="45" xr6:coauthVersionMax="45" xr10:uidLastSave="{00000000-0000-0000-0000-000000000000}"/>
  <bookViews>
    <workbookView xWindow="6510" yWindow="-163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3" l="1"/>
  <c r="C25" i="13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36" i="2" l="1"/>
  <c r="C47" i="2" s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10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l="1"/>
  <c r="C28" i="15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E37" i="15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4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9" i="15" l="1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7" i="1"/>
  <c r="P10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40" i="1"/>
  <c r="P14" i="1"/>
  <c r="P12" i="1"/>
  <c r="P30" i="1"/>
  <c r="P15" i="1"/>
  <c r="P19" i="1"/>
  <c r="P18" i="1"/>
  <c r="P27" i="1"/>
  <c r="P11" i="1"/>
  <c r="P16" i="1"/>
  <c r="P43" i="1"/>
  <c r="P42" i="1"/>
  <c r="P22" i="1"/>
  <c r="P36" i="1"/>
  <c r="P25" i="1"/>
  <c r="P39" i="1"/>
  <c r="P26" i="1"/>
  <c r="P20" i="1"/>
  <c r="P24" i="1"/>
  <c r="P38" i="1"/>
  <c r="P13" i="1"/>
  <c r="P33" i="1"/>
  <c r="P32" i="1"/>
  <c r="P35" i="1"/>
  <c r="P29" i="1"/>
  <c r="P31" i="1"/>
  <c r="P41" i="1"/>
  <c r="P21" i="1"/>
  <c r="P28" i="1"/>
  <c r="P17" i="1"/>
  <c r="P23" i="1"/>
  <c r="P34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4" i="1" s="1"/>
  <c r="D16" i="1"/>
  <c r="E41" i="21"/>
  <c r="D10" i="1" s="1"/>
  <c r="E34" i="21"/>
  <c r="F34" i="21" s="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1" i="19"/>
  <c r="F26" i="19" s="1"/>
  <c r="P44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X13" i="9"/>
  <c r="G36" i="14"/>
  <c r="E28" i="1" s="1"/>
  <c r="X17" i="9"/>
  <c r="Y17" i="9" s="1"/>
  <c r="F41" i="17"/>
  <c r="X33" i="9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9" i="1" s="1"/>
  <c r="F41" i="16"/>
  <c r="F41" i="20"/>
  <c r="F41" i="15"/>
  <c r="F45" i="21"/>
  <c r="D23" i="1"/>
  <c r="D44" i="1" s="1"/>
  <c r="G10" i="18"/>
  <c r="K13" i="1" s="1"/>
  <c r="G33" i="15"/>
  <c r="H33" i="15" s="1"/>
  <c r="G26" i="15"/>
  <c r="F27" i="1" s="1"/>
  <c r="G27" i="15"/>
  <c r="F21" i="1" s="1"/>
  <c r="G20" i="18"/>
  <c r="K36" i="1" s="1"/>
  <c r="G29" i="18"/>
  <c r="K41" i="1" s="1"/>
  <c r="G21" i="14"/>
  <c r="E24" i="1" s="1"/>
  <c r="G34" i="20"/>
  <c r="H34" i="20" s="1"/>
  <c r="G18" i="20"/>
  <c r="J16" i="1" s="1"/>
  <c r="G25" i="14"/>
  <c r="H25" i="14" s="1"/>
  <c r="G35" i="20"/>
  <c r="J14" i="1" s="1"/>
  <c r="G7" i="19"/>
  <c r="H7" i="19" s="1"/>
  <c r="G15" i="15"/>
  <c r="F41" i="1" s="1"/>
  <c r="G40" i="18"/>
  <c r="K15" i="1" s="1"/>
  <c r="G9" i="15"/>
  <c r="F14" i="1" s="1"/>
  <c r="G7" i="15"/>
  <c r="F37" i="1" s="1"/>
  <c r="G27" i="20"/>
  <c r="J38" i="1" s="1"/>
  <c r="G28" i="15"/>
  <c r="H28" i="15" s="1"/>
  <c r="G25" i="15"/>
  <c r="H25" i="15" s="1"/>
  <c r="G29" i="16"/>
  <c r="H29" i="16" s="1"/>
  <c r="G31" i="15"/>
  <c r="F29" i="1" s="1"/>
  <c r="G10" i="15"/>
  <c r="F42" i="1" s="1"/>
  <c r="G30" i="15"/>
  <c r="F26" i="1" s="1"/>
  <c r="G22" i="15"/>
  <c r="H22" i="15" s="1"/>
  <c r="G31" i="14"/>
  <c r="H31" i="14" s="1"/>
  <c r="G8" i="15"/>
  <c r="H8" i="15" s="1"/>
  <c r="G24" i="15"/>
  <c r="F34" i="1" s="1"/>
  <c r="G16" i="19"/>
  <c r="I37" i="1" s="1"/>
  <c r="G35" i="15"/>
  <c r="H35" i="15" s="1"/>
  <c r="G39" i="15"/>
  <c r="F24" i="1" s="1"/>
  <c r="G18" i="15"/>
  <c r="H18" i="15" s="1"/>
  <c r="G25" i="20"/>
  <c r="J26" i="1" s="1"/>
  <c r="G36" i="15"/>
  <c r="H36" i="15" s="1"/>
  <c r="G29" i="15"/>
  <c r="F20" i="1" s="1"/>
  <c r="G34" i="15"/>
  <c r="H34" i="15" s="1"/>
  <c r="G39" i="14"/>
  <c r="H39" i="14" s="1"/>
  <c r="G38" i="14"/>
  <c r="E19" i="1" s="1"/>
  <c r="G40" i="14"/>
  <c r="E18" i="1" s="1"/>
  <c r="G10" i="14"/>
  <c r="H10" i="14" s="1"/>
  <c r="G11" i="14"/>
  <c r="H11" i="14" s="1"/>
  <c r="G29" i="14"/>
  <c r="H29" i="14" s="1"/>
  <c r="G35" i="14"/>
  <c r="E29" i="1" s="1"/>
  <c r="G28" i="14"/>
  <c r="E21" i="1" s="1"/>
  <c r="G7" i="17"/>
  <c r="H41" i="1" s="1"/>
  <c r="G19" i="20"/>
  <c r="J27" i="1" s="1"/>
  <c r="G22" i="14"/>
  <c r="E36" i="1" s="1"/>
  <c r="G14" i="14"/>
  <c r="H14" i="14" s="1"/>
  <c r="G17" i="17"/>
  <c r="H23" i="1" s="1"/>
  <c r="G28" i="20"/>
  <c r="J28" i="1" s="1"/>
  <c r="G17" i="18"/>
  <c r="K28" i="1" s="1"/>
  <c r="G30" i="14"/>
  <c r="H30" i="14" s="1"/>
  <c r="G27" i="14"/>
  <c r="H27" i="14" s="1"/>
  <c r="G17" i="14"/>
  <c r="E39" i="1" s="1"/>
  <c r="G12" i="14"/>
  <c r="E37" i="1" s="1"/>
  <c r="F41" i="19"/>
  <c r="G26" i="14"/>
  <c r="E27" i="1" s="1"/>
  <c r="G20" i="14"/>
  <c r="E22" i="1" s="1"/>
  <c r="G13" i="14"/>
  <c r="E34" i="1" s="1"/>
  <c r="G18" i="14"/>
  <c r="H18" i="14" s="1"/>
  <c r="G29" i="17"/>
  <c r="H26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7" i="1" s="1"/>
  <c r="G40" i="19"/>
  <c r="I10" i="1" s="1"/>
  <c r="G24" i="20"/>
  <c r="H24" i="20" s="1"/>
  <c r="G38" i="20"/>
  <c r="J20" i="1" s="1"/>
  <c r="G12" i="20"/>
  <c r="H12" i="20" s="1"/>
  <c r="G23" i="20"/>
  <c r="H23" i="20" s="1"/>
  <c r="G19" i="18"/>
  <c r="K37" i="1" s="1"/>
  <c r="G13" i="20"/>
  <c r="H13" i="20" s="1"/>
  <c r="G20" i="20"/>
  <c r="H20" i="20" s="1"/>
  <c r="G14" i="20"/>
  <c r="J40" i="1" s="1"/>
  <c r="G30" i="20"/>
  <c r="J34" i="1" s="1"/>
  <c r="G32" i="15"/>
  <c r="F28" i="1" s="1"/>
  <c r="G14" i="15"/>
  <c r="F31" i="1" s="1"/>
  <c r="G37" i="15"/>
  <c r="H37" i="15" s="1"/>
  <c r="G31" i="18"/>
  <c r="K19" i="1" s="1"/>
  <c r="G28" i="18"/>
  <c r="K33" i="1" s="1"/>
  <c r="G9" i="19"/>
  <c r="I39" i="1" s="1"/>
  <c r="G26" i="20"/>
  <c r="H26" i="20" s="1"/>
  <c r="G10" i="20"/>
  <c r="J37" i="1" s="1"/>
  <c r="G37" i="20"/>
  <c r="H37" i="20" s="1"/>
  <c r="G40" i="20"/>
  <c r="H40" i="20" s="1"/>
  <c r="G23" i="18"/>
  <c r="H23" i="18" s="1"/>
  <c r="G17" i="20"/>
  <c r="J43" i="1" s="1"/>
  <c r="G36" i="20"/>
  <c r="H36" i="20" s="1"/>
  <c r="G15" i="20"/>
  <c r="J31" i="1" s="1"/>
  <c r="G21" i="20"/>
  <c r="J18" i="1" s="1"/>
  <c r="G32" i="19"/>
  <c r="I17" i="1" s="1"/>
  <c r="G23" i="15"/>
  <c r="F19" i="1" s="1"/>
  <c r="G21" i="15"/>
  <c r="F38" i="1" s="1"/>
  <c r="G16" i="15"/>
  <c r="F25" i="1" s="1"/>
  <c r="G38" i="15"/>
  <c r="F12" i="1" s="1"/>
  <c r="G9" i="18"/>
  <c r="K11" i="1" s="1"/>
  <c r="G12" i="18"/>
  <c r="K35" i="1" s="1"/>
  <c r="G22" i="20"/>
  <c r="J36" i="1" s="1"/>
  <c r="G16" i="20"/>
  <c r="J42" i="1" s="1"/>
  <c r="G8" i="20"/>
  <c r="H8" i="20" s="1"/>
  <c r="G39" i="20"/>
  <c r="H39" i="20" s="1"/>
  <c r="G33" i="20"/>
  <c r="H33" i="20" s="1"/>
  <c r="G34" i="19"/>
  <c r="H34" i="19" s="1"/>
  <c r="G35" i="18"/>
  <c r="K24" i="1" s="1"/>
  <c r="G27" i="18"/>
  <c r="H27" i="18" s="1"/>
  <c r="G11" i="20"/>
  <c r="J22" i="1" s="1"/>
  <c r="G7" i="20"/>
  <c r="H7" i="20" s="1"/>
  <c r="G9" i="20"/>
  <c r="H9" i="20" s="1"/>
  <c r="G20" i="19"/>
  <c r="H20" i="19" s="1"/>
  <c r="G40" i="15"/>
  <c r="F10" i="1" s="1"/>
  <c r="G19" i="15"/>
  <c r="F43" i="1" s="1"/>
  <c r="G17" i="15"/>
  <c r="F23" i="1" s="1"/>
  <c r="G11" i="15"/>
  <c r="H11" i="15" s="1"/>
  <c r="G37" i="18"/>
  <c r="H37" i="18" s="1"/>
  <c r="G22" i="18"/>
  <c r="K14" i="1" s="1"/>
  <c r="G16" i="16"/>
  <c r="G32" i="1" s="1"/>
  <c r="G37" i="16"/>
  <c r="G20" i="1" s="1"/>
  <c r="G24" i="17"/>
  <c r="H13" i="1" s="1"/>
  <c r="G27" i="16"/>
  <c r="G38" i="1" s="1"/>
  <c r="G38" i="19"/>
  <c r="H38" i="19" s="1"/>
  <c r="G20" i="17"/>
  <c r="H20" i="17" s="1"/>
  <c r="G35" i="19"/>
  <c r="H35" i="19" s="1"/>
  <c r="G13" i="15"/>
  <c r="G40" i="17"/>
  <c r="H40" i="17" s="1"/>
  <c r="G38" i="17"/>
  <c r="H14" i="1" s="1"/>
  <c r="G18" i="19"/>
  <c r="I36" i="1" s="1"/>
  <c r="G28" i="17"/>
  <c r="H30" i="1" s="1"/>
  <c r="G23" i="19"/>
  <c r="H23" i="19" s="1"/>
  <c r="G20" i="15"/>
  <c r="H20" i="15" s="1"/>
  <c r="G8" i="16"/>
  <c r="H8" i="16" s="1"/>
  <c r="G36" i="17"/>
  <c r="G22" i="17"/>
  <c r="H22" i="17" s="1"/>
  <c r="G25" i="17"/>
  <c r="H35" i="1" s="1"/>
  <c r="G15" i="17"/>
  <c r="H15" i="17" s="1"/>
  <c r="G18" i="17"/>
  <c r="H15" i="1" s="1"/>
  <c r="G33" i="16"/>
  <c r="G43" i="1" s="1"/>
  <c r="G11" i="16"/>
  <c r="H11" i="16" s="1"/>
  <c r="G7" i="16"/>
  <c r="H7" i="16" s="1"/>
  <c r="G34" i="16"/>
  <c r="G42" i="1" s="1"/>
  <c r="G32" i="17"/>
  <c r="H32" i="17" s="1"/>
  <c r="G16" i="17"/>
  <c r="H16" i="17" s="1"/>
  <c r="G9" i="17"/>
  <c r="H37" i="1" s="1"/>
  <c r="G23" i="17"/>
  <c r="H12" i="1" s="1"/>
  <c r="G39" i="17"/>
  <c r="H32" i="1" s="1"/>
  <c r="G30" i="16"/>
  <c r="G31" i="1" s="1"/>
  <c r="G20" i="16"/>
  <c r="H20" i="16" s="1"/>
  <c r="G25" i="16"/>
  <c r="G40" i="1" s="1"/>
  <c r="G12" i="16"/>
  <c r="G27" i="1" s="1"/>
  <c r="G31" i="19"/>
  <c r="I15" i="1" s="1"/>
  <c r="G25" i="19"/>
  <c r="H25" i="19" s="1"/>
  <c r="G33" i="19"/>
  <c r="H33" i="19" s="1"/>
  <c r="G30" i="18"/>
  <c r="K31" i="1" s="1"/>
  <c r="G34" i="18"/>
  <c r="H34" i="18" s="1"/>
  <c r="G8" i="18"/>
  <c r="K17" i="1" s="1"/>
  <c r="G13" i="18"/>
  <c r="K18" i="1" s="1"/>
  <c r="G22" i="16"/>
  <c r="H22" i="16" s="1"/>
  <c r="G40" i="16"/>
  <c r="H40" i="16" s="1"/>
  <c r="G12" i="17"/>
  <c r="H20" i="1" s="1"/>
  <c r="G31" i="17"/>
  <c r="H31" i="17" s="1"/>
  <c r="G18" i="16"/>
  <c r="G12" i="1" s="1"/>
  <c r="G17" i="16"/>
  <c r="H17" i="16" s="1"/>
  <c r="G26" i="17"/>
  <c r="H38" i="1" s="1"/>
  <c r="G27" i="17"/>
  <c r="H39" i="1" s="1"/>
  <c r="G13" i="17"/>
  <c r="H34" i="1" s="1"/>
  <c r="G35" i="17"/>
  <c r="H35" i="17" s="1"/>
  <c r="G9" i="16"/>
  <c r="G13" i="1" s="1"/>
  <c r="G31" i="16"/>
  <c r="H31" i="16" s="1"/>
  <c r="G35" i="16"/>
  <c r="G30" i="1" s="1"/>
  <c r="G32" i="16"/>
  <c r="H32" i="16" s="1"/>
  <c r="G39" i="16"/>
  <c r="G15" i="1" s="1"/>
  <c r="G30" i="19"/>
  <c r="I32" i="1" s="1"/>
  <c r="G22" i="19"/>
  <c r="I18" i="1" s="1"/>
  <c r="G14" i="19"/>
  <c r="I38" i="1" s="1"/>
  <c r="G18" i="18"/>
  <c r="K12" i="1" s="1"/>
  <c r="G15" i="18"/>
  <c r="K27" i="1" s="1"/>
  <c r="G36" i="18"/>
  <c r="H36" i="18" s="1"/>
  <c r="G14" i="18"/>
  <c r="K32" i="1" s="1"/>
  <c r="G8" i="17"/>
  <c r="H42" i="1" s="1"/>
  <c r="G33" i="17"/>
  <c r="H19" i="1" s="1"/>
  <c r="G19" i="17"/>
  <c r="H21" i="1" s="1"/>
  <c r="G34" i="17"/>
  <c r="H34" i="17" s="1"/>
  <c r="G28" i="16"/>
  <c r="H28" i="16" s="1"/>
  <c r="G10" i="16"/>
  <c r="G16" i="1" s="1"/>
  <c r="G21" i="16"/>
  <c r="H21" i="16" s="1"/>
  <c r="G36" i="16"/>
  <c r="G39" i="1" s="1"/>
  <c r="G21" i="19"/>
  <c r="I28" i="1" s="1"/>
  <c r="G19" i="19"/>
  <c r="H19" i="19" s="1"/>
  <c r="G28" i="19"/>
  <c r="H28" i="19" s="1"/>
  <c r="G7" i="18"/>
  <c r="H7" i="18" s="1"/>
  <c r="G16" i="18"/>
  <c r="K22" i="1" s="1"/>
  <c r="G26" i="18"/>
  <c r="K26" i="1" s="1"/>
  <c r="G24" i="18"/>
  <c r="H24" i="18" s="1"/>
  <c r="G33" i="18"/>
  <c r="K23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8" i="1" s="1"/>
  <c r="G37" i="17"/>
  <c r="H22" i="1" s="1"/>
  <c r="G19" i="16"/>
  <c r="G25" i="1" s="1"/>
  <c r="G13" i="16"/>
  <c r="G35" i="1" s="1"/>
  <c r="G24" i="16"/>
  <c r="G41" i="1" s="1"/>
  <c r="G30" i="17"/>
  <c r="H30" i="17" s="1"/>
  <c r="G14" i="17"/>
  <c r="H43" i="1" s="1"/>
  <c r="G11" i="17"/>
  <c r="H31" i="1" s="1"/>
  <c r="G38" i="16"/>
  <c r="H38" i="16" s="1"/>
  <c r="G14" i="16"/>
  <c r="G17" i="1" s="1"/>
  <c r="G15" i="16"/>
  <c r="G37" i="1" s="1"/>
  <c r="G15" i="19"/>
  <c r="I34" i="1" s="1"/>
  <c r="G17" i="19"/>
  <c r="I30" i="1" s="1"/>
  <c r="G13" i="19"/>
  <c r="I31" i="1" s="1"/>
  <c r="G32" i="18"/>
  <c r="H32" i="18" s="1"/>
  <c r="G38" i="18"/>
  <c r="K39" i="1" s="1"/>
  <c r="G39" i="18"/>
  <c r="H39" i="18" s="1"/>
  <c r="G25" i="18"/>
  <c r="K29" i="1" s="1"/>
  <c r="G15" i="14"/>
  <c r="E15" i="1" s="1"/>
  <c r="G34" i="14"/>
  <c r="H34" i="14" s="1"/>
  <c r="G23" i="14"/>
  <c r="H23" i="14" s="1"/>
  <c r="G37" i="14"/>
  <c r="E26" i="1" s="1"/>
  <c r="G27" i="19"/>
  <c r="H27" i="19" s="1"/>
  <c r="G29" i="19"/>
  <c r="I12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40" i="1" s="1"/>
  <c r="G26" i="19"/>
  <c r="I23" i="1" s="1"/>
  <c r="G12" i="19"/>
  <c r="H12" i="19" s="1"/>
  <c r="G37" i="19"/>
  <c r="I21" i="1" s="1"/>
  <c r="G36" i="19"/>
  <c r="I14" i="1" s="1"/>
  <c r="G8" i="14"/>
  <c r="E42" i="1" s="1"/>
  <c r="G7" i="14"/>
  <c r="H7" i="14" s="1"/>
  <c r="G16" i="14"/>
  <c r="H16" i="14" s="1"/>
  <c r="G32" i="14"/>
  <c r="E25" i="1" s="1"/>
  <c r="G11" i="19"/>
  <c r="H11" i="19" s="1"/>
  <c r="G8" i="19"/>
  <c r="H8" i="19" s="1"/>
  <c r="G10" i="19"/>
  <c r="I40" i="1" s="1"/>
  <c r="H27" i="1"/>
  <c r="H10" i="17"/>
  <c r="F33" i="1"/>
  <c r="H12" i="15"/>
  <c r="K16" i="1"/>
  <c r="H11" i="18"/>
  <c r="H36" i="14" l="1"/>
  <c r="G26" i="1"/>
  <c r="Y32" i="9"/>
  <c r="Y33" i="9"/>
  <c r="Y13" i="9"/>
  <c r="H31" i="20"/>
  <c r="Y26" i="9"/>
  <c r="Y19" i="9"/>
  <c r="Y18" i="9"/>
  <c r="Y27" i="9"/>
  <c r="Y37" i="9"/>
  <c r="Y15" i="9"/>
  <c r="Y8" i="9"/>
  <c r="Y23" i="9"/>
  <c r="Y22" i="9"/>
  <c r="Y16" i="9"/>
  <c r="Y38" i="9"/>
  <c r="Y25" i="9"/>
  <c r="Y12" i="9"/>
  <c r="Y21" i="9"/>
  <c r="Y39" i="9"/>
  <c r="X7" i="9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Y29" i="9"/>
  <c r="Y14" i="9"/>
  <c r="Y10" i="9"/>
  <c r="Y34" i="9"/>
  <c r="Y35" i="9"/>
  <c r="Y28" i="9"/>
  <c r="Y36" i="9"/>
  <c r="Y24" i="9"/>
  <c r="H20" i="18"/>
  <c r="H27" i="15"/>
  <c r="H26" i="15"/>
  <c r="H10" i="18"/>
  <c r="E41" i="4"/>
  <c r="F41" i="4" s="1"/>
  <c r="F30" i="1"/>
  <c r="H29" i="18"/>
  <c r="H40" i="14"/>
  <c r="J39" i="1"/>
  <c r="H17" i="14"/>
  <c r="I24" i="1"/>
  <c r="H7" i="15"/>
  <c r="H16" i="1"/>
  <c r="H18" i="20"/>
  <c r="K38" i="1"/>
  <c r="H9" i="19"/>
  <c r="F17" i="1"/>
  <c r="H7" i="17"/>
  <c r="E17" i="1"/>
  <c r="H15" i="19"/>
  <c r="H26" i="14"/>
  <c r="E16" i="1"/>
  <c r="F39" i="1"/>
  <c r="H28" i="20"/>
  <c r="H15" i="15"/>
  <c r="H35" i="20"/>
  <c r="H19" i="16"/>
  <c r="I43" i="1"/>
  <c r="H21" i="14"/>
  <c r="G34" i="1"/>
  <c r="H29" i="15"/>
  <c r="F16" i="1"/>
  <c r="H27" i="20"/>
  <c r="F13" i="1"/>
  <c r="H10" i="19"/>
  <c r="H15" i="20"/>
  <c r="F36" i="1"/>
  <c r="H17" i="15"/>
  <c r="H9" i="15"/>
  <c r="G41" i="18"/>
  <c r="H41" i="18" s="1"/>
  <c r="H28" i="18"/>
  <c r="E43" i="1"/>
  <c r="H11" i="20"/>
  <c r="H9" i="16"/>
  <c r="F35" i="1"/>
  <c r="J21" i="1"/>
  <c r="H24" i="15"/>
  <c r="H17" i="1"/>
  <c r="G21" i="1"/>
  <c r="H22" i="14"/>
  <c r="H17" i="19"/>
  <c r="G14" i="1"/>
  <c r="F28" i="4"/>
  <c r="H40" i="18"/>
  <c r="E12" i="1"/>
  <c r="J30" i="1"/>
  <c r="H11" i="17"/>
  <c r="F40" i="4"/>
  <c r="I16" i="1"/>
  <c r="F11" i="1"/>
  <c r="H29" i="19"/>
  <c r="F32" i="1"/>
  <c r="H14" i="20"/>
  <c r="H24" i="1"/>
  <c r="H13" i="17"/>
  <c r="I42" i="1"/>
  <c r="H19" i="14"/>
  <c r="H37" i="14"/>
  <c r="H38" i="20"/>
  <c r="H22" i="19"/>
  <c r="H15" i="18"/>
  <c r="H15" i="14"/>
  <c r="H18" i="18"/>
  <c r="H31" i="19"/>
  <c r="K10" i="1"/>
  <c r="H28" i="17"/>
  <c r="H19" i="15"/>
  <c r="H31" i="15"/>
  <c r="H8" i="14"/>
  <c r="H19" i="17"/>
  <c r="K20" i="1"/>
  <c r="J24" i="1"/>
  <c r="H30" i="15"/>
  <c r="G29" i="1"/>
  <c r="H17" i="18"/>
  <c r="H27" i="16"/>
  <c r="F40" i="1"/>
  <c r="H10" i="15"/>
  <c r="K21" i="1"/>
  <c r="H37" i="16"/>
  <c r="H28" i="1"/>
  <c r="F18" i="1"/>
  <c r="E38" i="1"/>
  <c r="H38" i="18"/>
  <c r="J41" i="1"/>
  <c r="H16" i="19"/>
  <c r="J25" i="1"/>
  <c r="H12" i="14"/>
  <c r="H23" i="15"/>
  <c r="H35" i="14"/>
  <c r="E23" i="1"/>
  <c r="H18" i="17"/>
  <c r="H13" i="14"/>
  <c r="H39" i="15"/>
  <c r="H16" i="16"/>
  <c r="H23" i="17"/>
  <c r="I27" i="1"/>
  <c r="H30" i="20"/>
  <c r="J15" i="1"/>
  <c r="F15" i="4"/>
  <c r="H35" i="18"/>
  <c r="H40" i="1"/>
  <c r="J19" i="1"/>
  <c r="H17" i="17"/>
  <c r="I20" i="1"/>
  <c r="H19" i="18"/>
  <c r="H37" i="17"/>
  <c r="E13" i="1"/>
  <c r="H17" i="20"/>
  <c r="E11" i="1"/>
  <c r="J35" i="1"/>
  <c r="F18" i="4"/>
  <c r="H31" i="18"/>
  <c r="F35" i="4"/>
  <c r="F17" i="4"/>
  <c r="F32" i="4"/>
  <c r="K40" i="1"/>
  <c r="I33" i="1"/>
  <c r="J11" i="1"/>
  <c r="H12" i="16"/>
  <c r="H33" i="16"/>
  <c r="H38" i="15"/>
  <c r="H16" i="15"/>
  <c r="G41" i="15"/>
  <c r="H41" i="15" s="1"/>
  <c r="E41" i="1"/>
  <c r="F13" i="4"/>
  <c r="H15" i="16"/>
  <c r="H25" i="20"/>
  <c r="E32" i="1"/>
  <c r="H18" i="16"/>
  <c r="F29" i="4"/>
  <c r="H26" i="18"/>
  <c r="I25" i="1"/>
  <c r="H36" i="1"/>
  <c r="H9" i="18"/>
  <c r="H14" i="15"/>
  <c r="E14" i="1"/>
  <c r="H20" i="14"/>
  <c r="F33" i="4"/>
  <c r="J32" i="1"/>
  <c r="F30" i="4"/>
  <c r="H32" i="15"/>
  <c r="H21" i="17"/>
  <c r="E31" i="1"/>
  <c r="K25" i="1"/>
  <c r="H21" i="20"/>
  <c r="H25" i="17"/>
  <c r="J10" i="1"/>
  <c r="H38" i="17"/>
  <c r="H38" i="14"/>
  <c r="H12" i="18"/>
  <c r="H40" i="19"/>
  <c r="H29" i="17"/>
  <c r="H32" i="20"/>
  <c r="G24" i="1"/>
  <c r="F10" i="4"/>
  <c r="I13" i="1"/>
  <c r="H19" i="20"/>
  <c r="H28" i="14"/>
  <c r="H29" i="1"/>
  <c r="H22" i="18"/>
  <c r="K43" i="1"/>
  <c r="K30" i="1"/>
  <c r="G41" i="20"/>
  <c r="H41" i="20" s="1"/>
  <c r="I26" i="1"/>
  <c r="H14" i="19"/>
  <c r="G19" i="1"/>
  <c r="H10" i="20"/>
  <c r="H25" i="1"/>
  <c r="H22" i="20"/>
  <c r="H21" i="15"/>
  <c r="F19" i="4"/>
  <c r="F11" i="4"/>
  <c r="F14" i="4"/>
  <c r="F7" i="4"/>
  <c r="F36" i="4"/>
  <c r="F23" i="4"/>
  <c r="F38" i="4"/>
  <c r="F31" i="4"/>
  <c r="J33" i="1"/>
  <c r="H25" i="18"/>
  <c r="H16" i="18"/>
  <c r="H18" i="19"/>
  <c r="H40" i="15"/>
  <c r="H24" i="17"/>
  <c r="H16" i="20"/>
  <c r="H32" i="19"/>
  <c r="G33" i="1"/>
  <c r="F26" i="4"/>
  <c r="K42" i="1"/>
  <c r="G41" i="16"/>
  <c r="H41" i="16" s="1"/>
  <c r="H32" i="14"/>
  <c r="J23" i="1"/>
  <c r="I35" i="1"/>
  <c r="J13" i="1"/>
  <c r="J12" i="1"/>
  <c r="F15" i="1"/>
  <c r="H30" i="18"/>
  <c r="I22" i="1"/>
  <c r="H8" i="17"/>
  <c r="H8" i="18"/>
  <c r="H39" i="16"/>
  <c r="H12" i="17"/>
  <c r="K34" i="1"/>
  <c r="G36" i="1"/>
  <c r="H11" i="1"/>
  <c r="I19" i="1"/>
  <c r="H14" i="16"/>
  <c r="H14" i="17"/>
  <c r="H13" i="15"/>
  <c r="H36" i="16"/>
  <c r="G41" i="17"/>
  <c r="H41" i="17" s="1"/>
  <c r="H25" i="16"/>
  <c r="H24" i="16"/>
  <c r="H33" i="18"/>
  <c r="H33" i="1"/>
  <c r="F22" i="1"/>
  <c r="H13" i="19"/>
  <c r="H9" i="17"/>
  <c r="G10" i="1"/>
  <c r="H21" i="19"/>
  <c r="G11" i="1"/>
  <c r="H27" i="17"/>
  <c r="H26" i="17"/>
  <c r="G22" i="1"/>
  <c r="E10" i="1"/>
  <c r="G18" i="1"/>
  <c r="H34" i="16"/>
  <c r="H36" i="17"/>
  <c r="G23" i="1"/>
  <c r="H30" i="16"/>
  <c r="H10" i="1"/>
  <c r="E33" i="1"/>
  <c r="I29" i="1"/>
  <c r="G28" i="1"/>
  <c r="H35" i="16"/>
  <c r="E20" i="1"/>
  <c r="H13" i="16"/>
  <c r="E30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5" i="1"/>
  <c r="G41" i="19"/>
  <c r="H41" i="19" s="1"/>
  <c r="I41" i="1"/>
  <c r="I11" i="1"/>
  <c r="L13" i="8" l="1"/>
  <c r="N16" i="1"/>
  <c r="N19" i="1"/>
  <c r="L16" i="8"/>
  <c r="L36" i="8"/>
  <c r="N39" i="1"/>
  <c r="L35" i="8"/>
  <c r="N38" i="1"/>
  <c r="L10" i="8"/>
  <c r="N13" i="1"/>
  <c r="L27" i="8"/>
  <c r="N30" i="1"/>
  <c r="L31" i="8"/>
  <c r="N34" i="1"/>
  <c r="N24" i="1"/>
  <c r="L21" i="8"/>
  <c r="N20" i="1"/>
  <c r="L17" i="8"/>
  <c r="L40" i="8"/>
  <c r="N43" i="1"/>
  <c r="N41" i="1"/>
  <c r="L38" i="8"/>
  <c r="N36" i="1"/>
  <c r="L33" i="8"/>
  <c r="L24" i="8"/>
  <c r="N27" i="1"/>
  <c r="L34" i="8"/>
  <c r="N37" i="1"/>
  <c r="N26" i="1"/>
  <c r="L23" i="8"/>
  <c r="L32" i="8"/>
  <c r="N35" i="1"/>
  <c r="N40" i="1"/>
  <c r="L37" i="8"/>
  <c r="L8" i="8"/>
  <c r="N11" i="1"/>
  <c r="X41" i="9"/>
  <c r="Y41" i="9" s="1"/>
  <c r="Y7" i="9"/>
  <c r="L12" i="8"/>
  <c r="N15" i="1"/>
  <c r="N22" i="1"/>
  <c r="L19" i="8"/>
  <c r="N14" i="1"/>
  <c r="L11" i="8"/>
  <c r="N29" i="1"/>
  <c r="L26" i="8"/>
  <c r="N32" i="1"/>
  <c r="L29" i="8"/>
  <c r="L14" i="8"/>
  <c r="N17" i="1"/>
  <c r="L20" i="8"/>
  <c r="N23" i="1"/>
  <c r="L28" i="8"/>
  <c r="N31" i="1"/>
  <c r="L15" i="8"/>
  <c r="N18" i="1"/>
  <c r="N21" i="1"/>
  <c r="L18" i="8"/>
  <c r="J41" i="8"/>
  <c r="L22" i="8"/>
  <c r="N25" i="1"/>
  <c r="N33" i="1"/>
  <c r="L30" i="8"/>
  <c r="L25" i="8"/>
  <c r="N28" i="1"/>
  <c r="N12" i="1"/>
  <c r="L9" i="8"/>
  <c r="N42" i="1"/>
  <c r="L39" i="8"/>
  <c r="F43" i="21"/>
  <c r="E44" i="21"/>
  <c r="F44" i="1"/>
  <c r="J44" i="1"/>
  <c r="K44" i="1"/>
  <c r="G44" i="1"/>
  <c r="H44" i="1"/>
  <c r="I44" i="1"/>
  <c r="E44" i="1"/>
  <c r="R39" i="1" l="1"/>
  <c r="R29" i="1"/>
  <c r="R36" i="1"/>
  <c r="R43" i="1"/>
  <c r="Q33" i="1"/>
  <c r="Q32" i="1"/>
  <c r="Q41" i="1"/>
  <c r="Q35" i="1"/>
  <c r="Q31" i="1"/>
  <c r="Q24" i="1"/>
  <c r="Q34" i="1"/>
  <c r="Q23" i="1"/>
  <c r="Q14" i="1"/>
  <c r="Q11" i="1"/>
  <c r="Q43" i="1"/>
  <c r="Q25" i="1"/>
  <c r="Q42" i="1"/>
  <c r="Q19" i="1"/>
  <c r="Q38" i="1"/>
  <c r="Q28" i="1"/>
  <c r="Q16" i="1"/>
  <c r="Q36" i="1"/>
  <c r="Q29" i="1"/>
  <c r="Q39" i="1"/>
  <c r="Q26" i="1"/>
  <c r="Q12" i="1"/>
  <c r="Q21" i="1"/>
  <c r="Q22" i="1"/>
  <c r="Q27" i="1"/>
  <c r="Q13" i="1"/>
  <c r="Q18" i="1"/>
  <c r="Q15" i="1"/>
  <c r="Q20" i="1"/>
  <c r="Q37" i="1"/>
  <c r="Q30" i="1"/>
  <c r="Q17" i="1"/>
  <c r="Q40" i="1"/>
  <c r="K41" i="8"/>
  <c r="L41" i="8" s="1"/>
  <c r="L7" i="8"/>
  <c r="N10" i="1" l="1"/>
  <c r="R16" i="1" s="1"/>
  <c r="Q10" i="1" l="1"/>
  <c r="N44" i="1"/>
  <c r="O10" i="1" l="1"/>
  <c r="R44" i="1"/>
  <c r="O43" i="1"/>
  <c r="O30" i="1"/>
  <c r="O29" i="1"/>
  <c r="O11" i="1"/>
  <c r="O27" i="1"/>
  <c r="O21" i="1"/>
  <c r="O18" i="1"/>
  <c r="O40" i="1"/>
  <c r="O32" i="1"/>
  <c r="O35" i="1"/>
  <c r="O13" i="1"/>
  <c r="O25" i="1"/>
  <c r="O28" i="1"/>
  <c r="O38" i="1"/>
  <c r="O36" i="1"/>
  <c r="O41" i="1"/>
  <c r="O20" i="1"/>
  <c r="O37" i="1"/>
  <c r="O22" i="1"/>
  <c r="O15" i="1"/>
  <c r="O26" i="1"/>
  <c r="O24" i="1"/>
  <c r="O33" i="1"/>
  <c r="Q44" i="1"/>
  <c r="O34" i="1"/>
  <c r="O23" i="1"/>
  <c r="O16" i="1"/>
  <c r="O42" i="1"/>
  <c r="O14" i="1"/>
  <c r="O31" i="1"/>
  <c r="O19" i="1"/>
  <c r="O12" i="1"/>
  <c r="O17" i="1"/>
  <c r="O39" i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<sst xmlns="http://schemas.openxmlformats.org/spreadsheetml/2006/main" count="344" uniqueCount="152">
  <si>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</si>
  <si>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</si>
  <si>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</si>
  <si>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</si>
  <si>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</si>
  <si>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</si>
  <si>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</si>
  <si>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</si>
  <si>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</si>
  <si>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</si>
  <si>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</si>
  <si>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</si>
  <si>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</si>
  <si>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</si>
  <si>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</si>
  <si>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</si>
  <si>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</si>
  <si>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</si>
  <si>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</si>
  <si>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</si>
  <si>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</si>
  <si>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</si>
  <si>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</si>
  <si>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</si>
  <si>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</si>
  <si>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</si>
  <si>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</si>
  <si>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</si>
  <si>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</si>
  <si>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</si>
  <si>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</si>
  <si>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</si>
  <si>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</si>
  <si>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</si>
  <si>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</si>
  <si>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</si>
  <si>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</si>
  <si>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</si>
  <si>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</si>
  <si>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</si>
  <si>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</si>
  <si>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</si>
  <si>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</si>
  <si>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</si>
  <si>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</si>
  <si>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</si>
  <si>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</si>
  <si>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</si>
  <si>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</si>
  <si>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</si>
  <si>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</si>
  <si>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</si>
  <si>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</si>
  <si>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</si>
  <si>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</si>
  <si>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</si>
  <si>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</si>
  <si>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</si>
  <si>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</si>
  <si>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</si>
  <si>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</si>
  <si>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</si>
  <si>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</si>
  <si>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</si>
  <si>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</si>
  <si>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</si>
  <si>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</si>
  <si>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</si>
  <si>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</si>
  <si>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</si>
  <si>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</si>
  <si>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</si>
  <si>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</si>
  <si>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</si>
  <si>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</si>
  <si>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</si>
  <si>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</si>
  <si>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</si>
  <si>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</si>
  <si>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</si>
  <si>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</si>
  <si>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</si>
  <si>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</si>
  <si>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</si>
  <si>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</si>
  <si>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</si>
  <si>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</si>
  <si>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</si>
  <si>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</si>
  <si>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</si>
  <si>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</si>
  <si>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</si>
  <si>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</si>
  <si>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</si>
  <si>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</si>
  <si>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</si>
  <si>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</si>
  <si>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</si>
  <si>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</si>
  <si>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</si>
  <si>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</si>
  <si>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</si>
  <si>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</si>
  <si>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</si>
  <si>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</si>
  <si>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</si>
  <si>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</si>
  <si>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</si>
  <si>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</si>
  <si>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</si>
  <si>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</si>
  <si>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</si>
  <si>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</si>
  <si>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</si>
  <si>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</si>
  <si>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</si>
  <si>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</si>
  <si>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</si>
  <si>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</si>
  <si>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</si>
  <si>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</si>
  <si>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</si>
  <si>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</si>
  <si>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</si>
  <si>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</si>
  <si>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</si>
  <si>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</si>
  <si>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</si>
  <si>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</si>
  <si>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</si>
  <si>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</si>
  <si>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</si>
  <si>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</si>
  <si>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</si>
  <si>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t>Updated August, 2020</t>
  </si>
  <si>
    <r>
      <t>1</t>
    </r>
    <r>
      <rPr>
        <sz val="11"/>
        <rFont val="Calibri"/>
        <family val="2"/>
      </rPr>
      <t xml:space="preserve"> Source: Portland State University Certified Population estimate July 1, 2019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</si>
  <si>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</si>
  <si>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</si>
  <si>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</si>
  <si>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</si>
  <si>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</si>
  <si>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</si>
  <si>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</si>
  <si>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</si>
  <si>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</si>
  <si>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</si>
  <si>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</si>
  <si>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</si>
  <si>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</si>
  <si>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ELC funds for 12/31/20-6/30/21</t>
  </si>
  <si>
    <t>Note:  ELC funds are available until June 2023</t>
  </si>
  <si>
    <t>Total ELC funds available to LPHAs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</si>
</sst>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5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5" fillId="0" borderId="0" xfId="0" applyFont="1" applyAlignment="1">
      <alignment vertical="center"/>
    </xf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42" fontId="15" fillId="7" borderId="5" xfId="2" applyNumberFormat="1" applyFont="1" applyFill="1" applyBorder="1" applyAlignment="1">
      <alignment horizontal="center"/>
    </xf>
    <xf numFmtId="42" fontId="15" fillId="8" borderId="5" xfId="2" applyNumberFormat="1" applyFont="1" applyFill="1" applyBorder="1" applyAlignment="1">
      <alignment horizontal="center"/>
    </xf>
    <xf numFmtId="42" fontId="15" fillId="10" borderId="5" xfId="2" applyNumberFormat="1" applyFont="1" applyFill="1" applyBorder="1" applyAlignment="1">
      <alignment horizontal="center"/>
    </xf>
    <xf numFmtId="42" fontId="15" fillId="5" borderId="5" xfId="2" applyNumberFormat="1" applyFont="1" applyFill="1" applyBorder="1" applyAlignment="1">
      <alignment horizontal="center"/>
    </xf>
    <xf numFmtId="42" fontId="15" fillId="6" borderId="5" xfId="2" applyNumberFormat="1" applyFont="1" applyFill="1" applyBorder="1" applyAlignment="1">
      <alignment horizontal="center"/>
    </xf>
    <xf numFmtId="42" fontId="15" fillId="8" borderId="6" xfId="2" applyNumberFormat="1" applyFont="1" applyFill="1" applyBorder="1" applyAlignment="1">
      <alignment horizontal="center"/>
    </xf>
    <xf numFmtId="42" fontId="15" fillId="10" borderId="6" xfId="2" applyNumberFormat="1" applyFont="1" applyFill="1" applyBorder="1" applyAlignment="1">
      <alignment horizontal="center"/>
    </xf>
    <xf numFmtId="42" fontId="15" fillId="5" borderId="6" xfId="2" applyNumberFormat="1" applyFont="1" applyFill="1" applyBorder="1" applyAlignment="1">
      <alignment horizontal="center"/>
    </xf>
    <xf numFmtId="42" fontId="15" fillId="6" borderId="6" xfId="2" applyNumberFormat="1" applyFont="1" applyFill="1" applyBorder="1" applyAlignment="1">
      <alignment horizontal="center"/>
    </xf>
    <xf numFmtId="42" fontId="15" fillId="7" borderId="0" xfId="2" applyNumberFormat="1" applyFont="1" applyFill="1" applyBorder="1" applyAlignment="1">
      <alignment horizontal="center"/>
    </xf>
    <xf numFmtId="6" fontId="3" fillId="0" borderId="0" xfId="0" applyNumberFormat="1" applyFont="1"/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6" fontId="5" fillId="0" borderId="0" xfId="0" applyNumberFormat="1" applyFon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D5" sqref="D5"/>
    </sheetView>
  </sheetViews>
  <sheetFormatPr defaultRowHeight="14.25" x14ac:dyDescent="0.45"/>
  <cols>
    <col min="2" max="2" width="25.86328125" bestFit="1" customWidth="1"/>
    <col min="3" max="3" width="11.86328125" bestFit="1" customWidth="1"/>
    <col min="4" max="4" width="12.1328125" bestFit="1" customWidth="1"/>
    <col min="8" max="8" width="18.3984375" bestFit="1" customWidth="1"/>
  </cols>
  <sheetData>
    <row r="1" spans="2:8" ht="18" x14ac:dyDescent="0.55000000000000004">
      <c r="B1" s="24" t="s">
        <v>42</v>
      </c>
      <c r="C1" s="24"/>
    </row>
    <row r="2" spans="2:8" ht="15.75" x14ac:dyDescent="0.45">
      <c r="B2" s="189" t="s">
        <v>49</v>
      </c>
      <c r="C2" s="190"/>
      <c r="D2" s="191"/>
      <c r="E2" s="191"/>
      <c r="F2" s="191"/>
      <c r="G2" s="191"/>
      <c r="H2" s="191"/>
    </row>
    <row r="3" spans="2:8" ht="15.75" x14ac:dyDescent="0.45">
      <c r="B3" s="23" t="s">
        <v>134</v>
      </c>
    </row>
    <row r="4" spans="2:8" ht="15.75" x14ac:dyDescent="0.45">
      <c r="B4" s="23"/>
    </row>
    <row r="5" spans="2:8" x14ac:dyDescent="0.45">
      <c r="B5" s="30" t="s">
        <v>94</v>
      </c>
      <c r="C5" s="202">
        <v>63910417</v>
      </c>
    </row>
    <row r="6" spans="2:8" x14ac:dyDescent="0.45">
      <c r="C6" s="9"/>
    </row>
    <row r="7" spans="2:8" x14ac:dyDescent="0.45">
      <c r="B7" s="30" t="s">
        <v>88</v>
      </c>
      <c r="C7" s="49">
        <f>IF(C5&lt;10000000,1860000/C5,18.45%)</f>
        <v>0.1845</v>
      </c>
    </row>
    <row r="8" spans="2:8" x14ac:dyDescent="0.45">
      <c r="B8" t="s">
        <v>35</v>
      </c>
      <c r="C8" s="34">
        <f>IF(C5&lt;10000000,30000/C5,C7*Floor!S12)</f>
        <v>2.975806451612903E-3</v>
      </c>
      <c r="D8" s="6"/>
    </row>
    <row r="9" spans="2:8" x14ac:dyDescent="0.45">
      <c r="B9" t="s">
        <v>24</v>
      </c>
      <c r="C9" s="34">
        <f>C8*1.5</f>
        <v>4.4637096774193547E-3</v>
      </c>
      <c r="D9" s="6"/>
    </row>
    <row r="10" spans="2:8" x14ac:dyDescent="0.45">
      <c r="B10" t="s">
        <v>22</v>
      </c>
      <c r="C10" s="34">
        <f>C8*2</f>
        <v>5.951612903225806E-3</v>
      </c>
      <c r="D10" s="6"/>
    </row>
    <row r="11" spans="2:8" x14ac:dyDescent="0.45">
      <c r="B11" t="s">
        <v>23</v>
      </c>
      <c r="C11" s="34">
        <f>C8*2.5</f>
        <v>7.4395161290322573E-3</v>
      </c>
      <c r="D11" s="6"/>
    </row>
    <row r="12" spans="2:8" x14ac:dyDescent="0.45">
      <c r="B12" t="s">
        <v>36</v>
      </c>
      <c r="C12" s="34">
        <f>C8*3</f>
        <v>8.9274193548387094E-3</v>
      </c>
      <c r="D12" s="47"/>
    </row>
    <row r="14" spans="2:8" x14ac:dyDescent="0.45">
      <c r="B14" s="30" t="s">
        <v>87</v>
      </c>
      <c r="C14" s="50">
        <f>1-C7-C25-C28</f>
        <v>0.8155</v>
      </c>
      <c r="D14" s="22">
        <f>SUM(D15:D22)-1</f>
        <v>0</v>
      </c>
    </row>
    <row r="15" spans="2:8" x14ac:dyDescent="0.45">
      <c r="B15" t="s">
        <v>25</v>
      </c>
      <c r="C15" s="34">
        <f>$C$14*D15</f>
        <v>0</v>
      </c>
      <c r="D15" s="52">
        <v>0</v>
      </c>
    </row>
    <row r="16" spans="2:8" x14ac:dyDescent="0.45">
      <c r="B16" t="s">
        <v>26</v>
      </c>
      <c r="C16" s="34">
        <f t="shared" ref="C16:C22" si="0">$C$14*D16</f>
        <v>0.13591666666666666</v>
      </c>
      <c r="D16" s="52">
        <f>1/6</f>
        <v>0.16666666666666666</v>
      </c>
    </row>
    <row r="17" spans="2:4" x14ac:dyDescent="0.45">
      <c r="B17" t="s">
        <v>27</v>
      </c>
      <c r="C17" s="34">
        <f t="shared" si="0"/>
        <v>0.13591666666666666</v>
      </c>
      <c r="D17" s="52">
        <f>1/6</f>
        <v>0.16666666666666666</v>
      </c>
    </row>
    <row r="18" spans="2:4" x14ac:dyDescent="0.45">
      <c r="B18" t="s">
        <v>28</v>
      </c>
      <c r="C18" s="34">
        <f t="shared" si="0"/>
        <v>0.13591666666666666</v>
      </c>
      <c r="D18" s="52">
        <f>1/6</f>
        <v>0.16666666666666666</v>
      </c>
    </row>
    <row r="19" spans="2:4" x14ac:dyDescent="0.45">
      <c r="B19" t="s">
        <v>86</v>
      </c>
      <c r="C19" s="34">
        <f t="shared" si="0"/>
        <v>0.13591666666666666</v>
      </c>
      <c r="D19" s="52">
        <f>1/6</f>
        <v>0.16666666666666666</v>
      </c>
    </row>
    <row r="20" spans="2:4" x14ac:dyDescent="0.45">
      <c r="B20" t="s">
        <v>29</v>
      </c>
      <c r="C20" s="34">
        <f t="shared" si="0"/>
        <v>6.7958333333333329E-2</v>
      </c>
      <c r="D20" s="52">
        <f>1/12</f>
        <v>8.3333333333333329E-2</v>
      </c>
    </row>
    <row r="21" spans="2:4" x14ac:dyDescent="0.45">
      <c r="B21" t="s">
        <v>38</v>
      </c>
      <c r="C21" s="34">
        <f t="shared" si="0"/>
        <v>6.7958333333333329E-2</v>
      </c>
      <c r="D21" s="52">
        <f>1/12</f>
        <v>8.3333333333333329E-2</v>
      </c>
    </row>
    <row r="22" spans="2:4" x14ac:dyDescent="0.45">
      <c r="B22" t="s">
        <v>30</v>
      </c>
      <c r="C22" s="34">
        <f t="shared" si="0"/>
        <v>0.13591666666666666</v>
      </c>
      <c r="D22" s="52">
        <f>1/6</f>
        <v>0.16666666666666666</v>
      </c>
    </row>
    <row r="23" spans="2:4" x14ac:dyDescent="0.45">
      <c r="C23" s="29"/>
      <c r="D23" s="22"/>
    </row>
    <row r="24" spans="2:4" x14ac:dyDescent="0.45">
      <c r="C24" s="29"/>
    </row>
    <row r="25" spans="2:4" x14ac:dyDescent="0.45">
      <c r="B25" s="30" t="s">
        <v>31</v>
      </c>
      <c r="C25" s="49">
        <f>IF($C$5&gt;=15000000,0,0)</f>
        <v>0</v>
      </c>
    </row>
    <row r="26" spans="2:4" x14ac:dyDescent="0.45">
      <c r="B26" s="88" t="s">
        <v>112</v>
      </c>
      <c r="C26" s="89">
        <v>0</v>
      </c>
    </row>
    <row r="27" spans="2:4" x14ac:dyDescent="0.45">
      <c r="B27" s="30"/>
      <c r="C27" s="87"/>
    </row>
    <row r="28" spans="2:4" x14ac:dyDescent="0.45">
      <c r="B28" s="30" t="s">
        <v>32</v>
      </c>
      <c r="C28" s="49">
        <f>IF($C$5&gt;=15000000,0,0)</f>
        <v>0</v>
      </c>
    </row>
    <row r="29" spans="2:4" x14ac:dyDescent="0.45">
      <c r="B29" s="90" t="s">
        <v>113</v>
      </c>
      <c r="C29" s="89">
        <v>0</v>
      </c>
    </row>
    <row r="30" spans="2:4" x14ac:dyDescent="0.45">
      <c r="B30" s="30"/>
      <c r="C30" s="87"/>
    </row>
    <row r="31" spans="2:4" x14ac:dyDescent="0.45">
      <c r="B31" s="70" t="s">
        <v>102</v>
      </c>
      <c r="C31" s="34">
        <f>$C$28*D31</f>
        <v>0</v>
      </c>
      <c r="D31" s="52">
        <v>1</v>
      </c>
    </row>
    <row r="32" spans="2:4" x14ac:dyDescent="0.45">
      <c r="B32" s="70" t="s">
        <v>103</v>
      </c>
      <c r="C32" s="34">
        <f t="shared" ref="C32:C34" si="1">$C$28*D32</f>
        <v>0</v>
      </c>
      <c r="D32" s="52">
        <v>0</v>
      </c>
    </row>
    <row r="33" spans="2:4" x14ac:dyDescent="0.45">
      <c r="B33" s="70" t="s">
        <v>104</v>
      </c>
      <c r="C33" s="34">
        <f t="shared" si="1"/>
        <v>0</v>
      </c>
      <c r="D33" s="52">
        <v>0</v>
      </c>
    </row>
    <row r="34" spans="2:4" x14ac:dyDescent="0.45">
      <c r="B34" s="70" t="s">
        <v>105</v>
      </c>
      <c r="C34" s="34">
        <f t="shared" si="1"/>
        <v>0</v>
      </c>
      <c r="D34" s="52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63910417</v>
      </c>
    </row>
    <row r="4" spans="2:8" x14ac:dyDescent="0.45">
      <c r="B4" t="s">
        <v>41</v>
      </c>
      <c r="C4" s="14">
        <f>'County Data'!H9</f>
        <v>4343245.4219583329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Data'!$B$12</f>
        <v>Clackamas</v>
      </c>
      <c r="C7" s="15">
        <f>VLOOKUP($B7,'County Data'!$B$10:$L$46,2,FALSE)</f>
        <v>423420</v>
      </c>
      <c r="D7" s="29">
        <f>VLOOKUP($B7,'County Data'!$B$10:$L$46,7,FALSE)</f>
        <v>0.13811687940583775</v>
      </c>
      <c r="E7" s="31">
        <f t="shared" ref="E7:E40" si="0">C7*D7</f>
        <v>58481.449078019818</v>
      </c>
      <c r="F7" s="6">
        <f t="shared" ref="F7:F40" si="1">E7/$E$41</f>
        <v>5.9253286789659604E-2</v>
      </c>
      <c r="G7" s="14">
        <f t="shared" ref="G7:G40" si="2">$C$4*F7</f>
        <v>257351.56658517325</v>
      </c>
      <c r="H7" s="10">
        <f t="shared" ref="H7:H40" si="3">G7/C7</f>
        <v>0.60779265642901437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613410</v>
      </c>
      <c r="D8" s="29">
        <f>VLOOKUP($B8,'County Data'!$B$10:$L$46,7,FALSE)</f>
        <v>0.16330220782308263</v>
      </c>
      <c r="E8" s="31">
        <f t="shared" si="0"/>
        <v>100171.20730075712</v>
      </c>
      <c r="F8" s="6">
        <f t="shared" si="1"/>
        <v>0.1014932661182817</v>
      </c>
      <c r="G8" s="14">
        <f t="shared" si="2"/>
        <v>440810.16342782578</v>
      </c>
      <c r="H8" s="10">
        <f t="shared" si="3"/>
        <v>0.7186223951807531</v>
      </c>
    </row>
    <row r="9" spans="2:8" x14ac:dyDescent="0.45">
      <c r="B9" s="20" t="str">
        <f>+'County Data'!$B$18</f>
        <v>Deschutes</v>
      </c>
      <c r="C9" s="15">
        <f>VLOOKUP($B9,'County Data'!$B$10:$L$46,2,FALSE)</f>
        <v>193000</v>
      </c>
      <c r="D9" s="29">
        <f>VLOOKUP($B9,'County Data'!$B$10:$L$46,7,FALSE)</f>
        <v>0.18767801513128615</v>
      </c>
      <c r="E9" s="31">
        <f t="shared" si="0"/>
        <v>36221.856920338229</v>
      </c>
      <c r="F9" s="6">
        <f t="shared" si="1"/>
        <v>3.669991270721587E-2</v>
      </c>
      <c r="G9" s="14">
        <f t="shared" si="2"/>
        <v>159396.72785188578</v>
      </c>
      <c r="H9" s="10">
        <f t="shared" si="3"/>
        <v>0.82588978161598847</v>
      </c>
    </row>
    <row r="10" spans="2:8" x14ac:dyDescent="0.45">
      <c r="B10" s="20" t="str">
        <f>+'County Data'!$B$14</f>
        <v>Columbia</v>
      </c>
      <c r="C10" s="15">
        <f>VLOOKUP($B10,'County Data'!$B$10:$L$46,2,FALSE)</f>
        <v>52750</v>
      </c>
      <c r="D10" s="29">
        <f>VLOOKUP($B10,'County Data'!$B$10:$L$46,7,FALSE)</f>
        <v>0.21043750992536128</v>
      </c>
      <c r="E10" s="31">
        <f t="shared" si="0"/>
        <v>11100.578648562807</v>
      </c>
      <c r="F10" s="6">
        <f t="shared" si="1"/>
        <v>1.1247083999525535E-2</v>
      </c>
      <c r="G10" s="14">
        <f t="shared" si="2"/>
        <v>48848.846091320098</v>
      </c>
      <c r="H10" s="10">
        <f t="shared" si="3"/>
        <v>0.92604447566483594</v>
      </c>
    </row>
    <row r="11" spans="2:8" x14ac:dyDescent="0.45">
      <c r="B11" s="20" t="str">
        <f>+'County Data'!$B$37</f>
        <v>Polk</v>
      </c>
      <c r="C11" s="15">
        <f>VLOOKUP($B11,'County Data'!$B$10:$L$46,2,FALSE)</f>
        <v>82940</v>
      </c>
      <c r="D11" s="29">
        <f>VLOOKUP($B11,'County Data'!$B$10:$L$46,7,FALSE)</f>
        <v>0.23463420155701728</v>
      </c>
      <c r="E11" s="31">
        <f t="shared" si="0"/>
        <v>19460.560677139012</v>
      </c>
      <c r="F11" s="6">
        <f t="shared" si="1"/>
        <v>1.9717401006116353E-2</v>
      </c>
      <c r="G11" s="14">
        <f t="shared" si="2"/>
        <v>85637.511652731482</v>
      </c>
      <c r="H11" s="10">
        <f t="shared" si="3"/>
        <v>1.0325236514677054</v>
      </c>
    </row>
    <row r="12" spans="2:8" x14ac:dyDescent="0.45">
      <c r="B12" s="20" t="str">
        <f>+'County Data'!$B$23</f>
        <v>Hood River</v>
      </c>
      <c r="C12" s="15">
        <f>VLOOKUP($B12,'County Data'!$B$10:$L$46,2,FALSE)</f>
        <v>25480</v>
      </c>
      <c r="D12" s="29">
        <f>VLOOKUP($B12,'County Data'!$B$10:$L$46,7,FALSE)</f>
        <v>0.2071000743234381</v>
      </c>
      <c r="E12" s="31">
        <f t="shared" si="0"/>
        <v>5276.9098937612025</v>
      </c>
      <c r="F12" s="6">
        <f t="shared" si="1"/>
        <v>5.3465545096375352E-3</v>
      </c>
      <c r="G12" s="14">
        <f t="shared" si="2"/>
        <v>23221.398397233905</v>
      </c>
      <c r="H12" s="10">
        <f t="shared" si="3"/>
        <v>0.91135786488359127</v>
      </c>
    </row>
    <row r="13" spans="2:8" x14ac:dyDescent="0.45">
      <c r="B13" s="20" t="str">
        <f>+'County Data'!$B$46</f>
        <v>Yamhill</v>
      </c>
      <c r="C13" s="15">
        <f>VLOOKUP($B13,'County Data'!$B$10:$L$46,2,FALSE)</f>
        <v>108060</v>
      </c>
      <c r="D13" s="29">
        <f>VLOOKUP($B13,'County Data'!$B$10:$L$46,7,FALSE)</f>
        <v>0.21567317522496532</v>
      </c>
      <c r="E13" s="31">
        <f t="shared" si="0"/>
        <v>23305.643314809753</v>
      </c>
      <c r="F13" s="6">
        <f t="shared" si="1"/>
        <v>2.361323101463569E-2</v>
      </c>
      <c r="G13" s="14">
        <f t="shared" si="2"/>
        <v>102558.05750196098</v>
      </c>
      <c r="H13" s="10">
        <f t="shared" si="3"/>
        <v>0.94908437443976479</v>
      </c>
    </row>
    <row r="14" spans="2:8" x14ac:dyDescent="0.45">
      <c r="B14" s="20" t="str">
        <f>+'County Data'!$B$35</f>
        <v>Multnomah</v>
      </c>
      <c r="C14" s="15">
        <f>VLOOKUP($B14,'County Data'!$B$10:$L$46,2,FALSE)</f>
        <v>821730</v>
      </c>
      <c r="D14" s="29">
        <f>VLOOKUP($B14,'County Data'!$B$10:$L$46,7,FALSE)</f>
        <v>0.23381795591069882</v>
      </c>
      <c r="E14" s="31">
        <f t="shared" si="0"/>
        <v>192135.22891049852</v>
      </c>
      <c r="F14" s="6">
        <f t="shared" si="1"/>
        <v>0.19467102817241189</v>
      </c>
      <c r="G14" s="14">
        <f t="shared" si="2"/>
        <v>845504.05189774954</v>
      </c>
      <c r="H14" s="10">
        <f t="shared" si="3"/>
        <v>1.0289317073707296</v>
      </c>
    </row>
    <row r="15" spans="2:8" x14ac:dyDescent="0.45">
      <c r="B15" s="20" t="str">
        <f>+'County Data'!$B$42</f>
        <v>Wallowa</v>
      </c>
      <c r="C15" s="15">
        <f>VLOOKUP($B15,'County Data'!$B$10:$L$46,2,FALSE)</f>
        <v>7150</v>
      </c>
      <c r="D15" s="29">
        <f>VLOOKUP($B15,'County Data'!$B$10:$L$46,7,FALSE)</f>
        <v>0.25040316669110102</v>
      </c>
      <c r="E15" s="31">
        <f t="shared" si="0"/>
        <v>1790.3826418413723</v>
      </c>
      <c r="F15" s="6">
        <f t="shared" si="1"/>
        <v>1.8140120980710713E-3</v>
      </c>
      <c r="G15" s="14">
        <f t="shared" si="2"/>
        <v>7878.6997403242103</v>
      </c>
      <c r="H15" s="10">
        <f t="shared" si="3"/>
        <v>1.1019160475977916</v>
      </c>
    </row>
    <row r="16" spans="2:8" x14ac:dyDescent="0.45">
      <c r="B16" s="20" t="str">
        <f>+'County Data'!$B$13</f>
        <v>Clatsop</v>
      </c>
      <c r="C16" s="15">
        <f>VLOOKUP($B16,'County Data'!$B$10:$L$46,2,FALSE)</f>
        <v>39330</v>
      </c>
      <c r="D16" s="29">
        <f>VLOOKUP($B16,'County Data'!$B$10:$L$46,7,FALSE)</f>
        <v>0.22943563260789376</v>
      </c>
      <c r="E16" s="31">
        <f t="shared" si="0"/>
        <v>9023.7034304684621</v>
      </c>
      <c r="F16" s="6">
        <f t="shared" si="1"/>
        <v>9.1427981984007201E-3</v>
      </c>
      <c r="G16" s="14">
        <f t="shared" si="2"/>
        <v>39709.41641909282</v>
      </c>
      <c r="H16" s="10">
        <f t="shared" si="3"/>
        <v>1.0096469976886047</v>
      </c>
    </row>
    <row r="17" spans="2:8" x14ac:dyDescent="0.45">
      <c r="B17" s="20" t="str">
        <f>+'County Data'!$B$36</f>
        <v>Gilliam, Sherman, Wasco</v>
      </c>
      <c r="C17" s="15">
        <f>VLOOKUP($B17,'County Data'!$B$10:$L$46,2,FALSE)</f>
        <v>31000</v>
      </c>
      <c r="D17" s="29">
        <f>VLOOKUP($B17,'County Data'!$B$10:$L$46,7,FALSE)</f>
        <v>0.23854671280276818</v>
      </c>
      <c r="E17" s="31">
        <f t="shared" si="0"/>
        <v>7394.9480968858134</v>
      </c>
      <c r="F17" s="6">
        <f t="shared" si="1"/>
        <v>7.4925465645499911E-3</v>
      </c>
      <c r="G17" s="14">
        <f t="shared" si="2"/>
        <v>32541.968565291383</v>
      </c>
      <c r="H17" s="10">
        <f t="shared" si="3"/>
        <v>1.0497409214610123</v>
      </c>
    </row>
    <row r="18" spans="2:8" x14ac:dyDescent="0.45">
      <c r="B18" s="20" t="str">
        <f>+'County Data'!$B$34</f>
        <v>Morrow</v>
      </c>
      <c r="C18" s="15">
        <f>VLOOKUP($B18,'County Data'!$B$10:$L$46,2,FALSE)</f>
        <v>12680</v>
      </c>
      <c r="D18" s="29">
        <f>VLOOKUP($B18,'County Data'!$B$10:$L$46,7,FALSE)</f>
        <v>0.29377013963480131</v>
      </c>
      <c r="E18" s="31">
        <f t="shared" si="0"/>
        <v>3725.0053705692808</v>
      </c>
      <c r="F18" s="6">
        <f t="shared" si="1"/>
        <v>3.7741679625773968E-3</v>
      </c>
      <c r="G18" s="14">
        <f t="shared" si="2"/>
        <v>16392.137725166089</v>
      </c>
      <c r="H18" s="10">
        <f t="shared" si="3"/>
        <v>1.2927553411014265</v>
      </c>
    </row>
    <row r="19" spans="2:8" x14ac:dyDescent="0.45">
      <c r="B19" s="20" t="str">
        <f>+'County Data'!$B$39</f>
        <v>Tillamook</v>
      </c>
      <c r="C19" s="15">
        <f>VLOOKUP($B19,'County Data'!$B$10:$L$46,2,FALSE)</f>
        <v>26500</v>
      </c>
      <c r="D19" s="29">
        <f>VLOOKUP($B19,'County Data'!$B$10:$L$46,7,FALSE)</f>
        <v>0.25437453094758461</v>
      </c>
      <c r="E19" s="31">
        <f t="shared" si="0"/>
        <v>6740.9250701109922</v>
      </c>
      <c r="F19" s="6">
        <f t="shared" si="1"/>
        <v>6.829891746937153E-3</v>
      </c>
      <c r="G19" s="14">
        <f t="shared" si="2"/>
        <v>29663.89606235579</v>
      </c>
      <c r="H19" s="10">
        <f t="shared" si="3"/>
        <v>1.119392304239841</v>
      </c>
    </row>
    <row r="20" spans="2:8" x14ac:dyDescent="0.45">
      <c r="B20" s="20" t="str">
        <f>+'County Data'!$B$10</f>
        <v>Baker</v>
      </c>
      <c r="C20" s="15">
        <f>VLOOKUP($B20,'County Data'!$B$10:$L$46,2,FALSE)</f>
        <v>16820</v>
      </c>
      <c r="D20" s="29">
        <f>VLOOKUP($B20,'County Data'!$B$10:$L$46,7,FALSE)</f>
        <v>0.26671850699844479</v>
      </c>
      <c r="E20" s="31">
        <f t="shared" si="0"/>
        <v>4486.2052877138412</v>
      </c>
      <c r="F20" s="6">
        <f t="shared" si="1"/>
        <v>4.5454141903283419E-3</v>
      </c>
      <c r="G20" s="14">
        <f t="shared" si="2"/>
        <v>19741.849373048011</v>
      </c>
      <c r="H20" s="10">
        <f t="shared" si="3"/>
        <v>1.1737128045807379</v>
      </c>
    </row>
    <row r="21" spans="2:8" x14ac:dyDescent="0.45">
      <c r="B21" s="20" t="str">
        <f>+'County Data'!$B$17</f>
        <v>Curry</v>
      </c>
      <c r="C21" s="15">
        <f>VLOOKUP($B21,'County Data'!$B$10:$L$46,2,FALSE)</f>
        <v>23000</v>
      </c>
      <c r="D21" s="29">
        <f>VLOOKUP($B21,'County Data'!$B$10:$L$46,7,FALSE)</f>
        <v>0.24108864278348205</v>
      </c>
      <c r="E21" s="31">
        <f t="shared" si="0"/>
        <v>5545.0387840200874</v>
      </c>
      <c r="F21" s="6">
        <f t="shared" si="1"/>
        <v>5.6182221629117795E-3</v>
      </c>
      <c r="G21" s="14">
        <f t="shared" si="2"/>
        <v>24401.317688611431</v>
      </c>
      <c r="H21" s="10">
        <f t="shared" si="3"/>
        <v>1.0609268560265839</v>
      </c>
    </row>
    <row r="22" spans="2:8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Data'!$B$10:$L$46,7,FALSE)</f>
        <v>0.25578581775085596</v>
      </c>
      <c r="E22" s="31">
        <f t="shared" si="0"/>
        <v>32369.695236370822</v>
      </c>
      <c r="F22" s="6">
        <f t="shared" si="1"/>
        <v>3.2796910223201713E-2</v>
      </c>
      <c r="G22" s="14">
        <f t="shared" si="2"/>
        <v>142445.03018129928</v>
      </c>
      <c r="H22" s="10">
        <f t="shared" si="3"/>
        <v>1.1256027671378845</v>
      </c>
    </row>
    <row r="23" spans="2:8" x14ac:dyDescent="0.45">
      <c r="B23" s="20" t="str">
        <f>+'County Data'!$B$22</f>
        <v>Harney</v>
      </c>
      <c r="C23" s="15">
        <f>VLOOKUP($B23,'County Data'!$B$10:$L$46,2,FALSE)</f>
        <v>7360</v>
      </c>
      <c r="D23" s="29">
        <f>VLOOKUP($B23,'County Data'!$B$10:$L$46,7,FALSE)</f>
        <v>0.27595435976898153</v>
      </c>
      <c r="E23" s="31">
        <f t="shared" si="0"/>
        <v>2031.024087899704</v>
      </c>
      <c r="F23" s="6">
        <f t="shared" si="1"/>
        <v>2.0578295280692599E-3</v>
      </c>
      <c r="G23" s="14">
        <f t="shared" si="2"/>
        <v>8937.6586769574897</v>
      </c>
      <c r="H23" s="10">
        <f t="shared" si="3"/>
        <v>1.2143557984996589</v>
      </c>
    </row>
    <row r="24" spans="2:8" x14ac:dyDescent="0.45">
      <c r="B24" s="20" t="str">
        <f>+'County Data'!$B$21</f>
        <v>Grant</v>
      </c>
      <c r="C24" s="15">
        <f>VLOOKUP($B24,'County Data'!$B$10:$L$46,2,FALSE)</f>
        <v>7360</v>
      </c>
      <c r="D24" s="29">
        <f>VLOOKUP($B24,'County Data'!$B$10:$L$46,7,FALSE)</f>
        <v>0.27554486272289841</v>
      </c>
      <c r="E24" s="31">
        <f t="shared" si="0"/>
        <v>2028.0101896405322</v>
      </c>
      <c r="F24" s="6">
        <f t="shared" si="1"/>
        <v>2.0547758524042245E-3</v>
      </c>
      <c r="G24" s="14">
        <f t="shared" si="2"/>
        <v>8924.3958141051789</v>
      </c>
      <c r="H24" s="10">
        <f t="shared" si="3"/>
        <v>1.2125537790903775</v>
      </c>
    </row>
    <row r="25" spans="2:8" x14ac:dyDescent="0.45">
      <c r="B25" s="20" t="str">
        <f>+'County Data'!$B$19</f>
        <v>Douglas</v>
      </c>
      <c r="C25" s="15">
        <f>VLOOKUP($B25,'County Data'!$B$10:$L$46,2,FALSE)</f>
        <v>112250</v>
      </c>
      <c r="D25" s="29">
        <f>VLOOKUP($B25,'County Data'!$B$10:$L$46,7,FALSE)</f>
        <v>0.27764111677500819</v>
      </c>
      <c r="E25" s="31">
        <f t="shared" si="0"/>
        <v>31165.215357994668</v>
      </c>
      <c r="F25" s="6">
        <f t="shared" si="1"/>
        <v>3.157653362872672E-2</v>
      </c>
      <c r="G25" s="14">
        <f t="shared" si="2"/>
        <v>137144.63512428067</v>
      </c>
      <c r="H25" s="10">
        <f t="shared" si="3"/>
        <v>1.2217784866305628</v>
      </c>
    </row>
    <row r="26" spans="2:8" x14ac:dyDescent="0.45">
      <c r="B26" s="20" t="str">
        <f>+'County Data'!$B$24</f>
        <v>Jackson</v>
      </c>
      <c r="C26" s="15">
        <f>VLOOKUP($B26,'County Data'!$B$10:$L$46,2,FALSE)</f>
        <v>221290</v>
      </c>
      <c r="D26" s="29">
        <f>VLOOKUP($B26,'County Data'!$B$10:$L$46,7,FALSE)</f>
        <v>0.26824137573224915</v>
      </c>
      <c r="E26" s="31">
        <f t="shared" si="0"/>
        <v>59359.134035789415</v>
      </c>
      <c r="F26" s="6">
        <f t="shared" si="1"/>
        <v>6.0142555426698878E-2</v>
      </c>
      <c r="G26" s="14">
        <f t="shared" si="2"/>
        <v>261213.8785218852</v>
      </c>
      <c r="H26" s="10">
        <f t="shared" si="3"/>
        <v>1.1804142913004889</v>
      </c>
    </row>
    <row r="27" spans="2:8" x14ac:dyDescent="0.45">
      <c r="B27" s="20" t="str">
        <f>+'County Data'!$B$33</f>
        <v>Marion</v>
      </c>
      <c r="C27" s="15">
        <f>VLOOKUP($B27,'County Data'!$B$10:$L$46,2,FALSE)</f>
        <v>347760</v>
      </c>
      <c r="D27" s="29">
        <f>VLOOKUP($B27,'County Data'!$B$10:$L$46,7,FALSE)</f>
        <v>0.27417406553517121</v>
      </c>
      <c r="E27" s="31">
        <f t="shared" si="0"/>
        <v>95346.773030511133</v>
      </c>
      <c r="F27" s="6">
        <f t="shared" si="1"/>
        <v>9.6605159001931382E-2</v>
      </c>
      <c r="G27" s="14">
        <f t="shared" si="2"/>
        <v>419579.91457269533</v>
      </c>
      <c r="H27" s="10">
        <f t="shared" si="3"/>
        <v>1.2065214934802604</v>
      </c>
    </row>
    <row r="28" spans="2:8" x14ac:dyDescent="0.45">
      <c r="B28" s="20" t="str">
        <f>+'County Data'!$B$40</f>
        <v>Umatilla</v>
      </c>
      <c r="C28" s="15">
        <f>VLOOKUP($B28,'County Data'!$B$10:$L$46,2,FALSE)</f>
        <v>81160</v>
      </c>
      <c r="D28" s="29">
        <f>VLOOKUP($B28,'County Data'!$B$10:$L$46,7,FALSE)</f>
        <v>0.2947186267045061</v>
      </c>
      <c r="E28" s="31">
        <f t="shared" si="0"/>
        <v>23919.363743337715</v>
      </c>
      <c r="F28" s="6">
        <f t="shared" si="1"/>
        <v>2.4235051320622397E-2</v>
      </c>
      <c r="G28" s="14">
        <f t="shared" si="2"/>
        <v>105258.77569921847</v>
      </c>
      <c r="H28" s="10">
        <f t="shared" si="3"/>
        <v>1.2969292225137812</v>
      </c>
    </row>
    <row r="29" spans="2:8" x14ac:dyDescent="0.45">
      <c r="B29" s="20" t="str">
        <f>+'County Data'!$B$30</f>
        <v>Lincoln</v>
      </c>
      <c r="C29" s="15">
        <f>VLOOKUP($B29,'County Data'!$B$10:$L$46,2,FALSE)</f>
        <v>48260</v>
      </c>
      <c r="D29" s="29">
        <f>VLOOKUP($B29,'County Data'!$B$10:$L$46,7,FALSE)</f>
        <v>0.28095601322145947</v>
      </c>
      <c r="E29" s="31">
        <f t="shared" si="0"/>
        <v>13558.937198067633</v>
      </c>
      <c r="F29" s="6">
        <f t="shared" si="1"/>
        <v>1.3737887946111896E-2</v>
      </c>
      <c r="G29" s="14">
        <f t="shared" si="2"/>
        <v>59667.01892932706</v>
      </c>
      <c r="H29" s="10">
        <f t="shared" si="3"/>
        <v>1.2363659123358279</v>
      </c>
    </row>
    <row r="30" spans="2:8" x14ac:dyDescent="0.45">
      <c r="B30" s="20" t="str">
        <f>+'County Data'!$B$11</f>
        <v>Benton</v>
      </c>
      <c r="C30" s="15">
        <f>VLOOKUP($B30,'County Data'!$B$10:$L$46,2,FALSE)</f>
        <v>94360</v>
      </c>
      <c r="D30" s="29">
        <f>VLOOKUP($B30,'County Data'!$B$10:$L$46,7,FALSE)</f>
        <v>0.2787920514707628</v>
      </c>
      <c r="E30" s="31">
        <f t="shared" si="0"/>
        <v>26306.817976781178</v>
      </c>
      <c r="F30" s="6">
        <f t="shared" si="1"/>
        <v>2.6654015156533598E-2</v>
      </c>
      <c r="G30" s="14">
        <f t="shared" si="2"/>
        <v>115764.92930542257</v>
      </c>
      <c r="H30" s="10">
        <f t="shared" si="3"/>
        <v>1.2268432524949404</v>
      </c>
    </row>
    <row r="31" spans="2:8" x14ac:dyDescent="0.45">
      <c r="B31" s="20" t="str">
        <f>+'County Data'!$B$29</f>
        <v>Lane</v>
      </c>
      <c r="C31" s="15">
        <f>VLOOKUP($B31,'County Data'!$B$10:$L$46,2,FALSE)</f>
        <v>378880</v>
      </c>
      <c r="D31" s="29">
        <f>VLOOKUP($B31,'County Data'!$B$10:$L$46,7,FALSE)</f>
        <v>0.28730761886047818</v>
      </c>
      <c r="E31" s="31">
        <f t="shared" si="0"/>
        <v>108855.11063385797</v>
      </c>
      <c r="F31" s="6">
        <f t="shared" si="1"/>
        <v>0.11029177954026356</v>
      </c>
      <c r="G31" s="14">
        <f t="shared" si="2"/>
        <v>479024.26656788745</v>
      </c>
      <c r="H31" s="10">
        <f t="shared" si="3"/>
        <v>1.2643165819464934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6.3892806348300555E-3</v>
      </c>
      <c r="G32" s="14">
        <f t="shared" si="2"/>
        <v>27750.21386683267</v>
      </c>
      <c r="H32" s="10">
        <f t="shared" si="3"/>
        <v>1.1838828441481515</v>
      </c>
    </row>
    <row r="33" spans="2:8" x14ac:dyDescent="0.45">
      <c r="B33" s="20" t="str">
        <f>+'County Data'!$B$25</f>
        <v>Jefferson</v>
      </c>
      <c r="C33" s="15">
        <f>VLOOKUP($B33,'County Data'!$B$10:$L$46,2,FALSE)</f>
        <v>23840</v>
      </c>
      <c r="D33" s="29">
        <f>VLOOKUP($B33,'County Data'!$B$10:$L$46,7,FALSE)</f>
        <v>0.30349789583239062</v>
      </c>
      <c r="E33" s="31">
        <f t="shared" si="0"/>
        <v>7235.3898366441927</v>
      </c>
      <c r="F33" s="6">
        <f t="shared" si="1"/>
        <v>7.3308824556264432E-3</v>
      </c>
      <c r="G33" s="14">
        <f t="shared" si="2"/>
        <v>31839.821664314211</v>
      </c>
      <c r="H33" s="10">
        <f t="shared" si="3"/>
        <v>1.335562989274925</v>
      </c>
    </row>
    <row r="34" spans="2:8" x14ac:dyDescent="0.45">
      <c r="B34" s="20" t="str">
        <f>+'County Data'!$B$15</f>
        <v>Coos</v>
      </c>
      <c r="C34" s="15">
        <f>VLOOKUP($B34,'County Data'!$B$10:$L$46,2,FALSE)</f>
        <v>63290</v>
      </c>
      <c r="D34" s="29">
        <f>VLOOKUP($B34,'County Data'!$B$10:$L$46,7,FALSE)</f>
        <v>0.29889760747123673</v>
      </c>
      <c r="E34" s="31">
        <f t="shared" si="0"/>
        <v>18917.229576854574</v>
      </c>
      <c r="F34" s="6">
        <f t="shared" si="1"/>
        <v>1.9166899026181742E-2</v>
      </c>
      <c r="G34" s="14">
        <f t="shared" si="2"/>
        <v>83246.546448601483</v>
      </c>
      <c r="H34" s="10">
        <f t="shared" si="3"/>
        <v>1.3153191096318768</v>
      </c>
    </row>
    <row r="35" spans="2:8" x14ac:dyDescent="0.45">
      <c r="B35" s="20" t="str">
        <f>+'County Data'!$B$27</f>
        <v>Klamath</v>
      </c>
      <c r="C35" s="15">
        <f>VLOOKUP($B35,'County Data'!$B$10:$L$46,2,FALSE)</f>
        <v>68190</v>
      </c>
      <c r="D35" s="29">
        <f>VLOOKUP($B35,'County Data'!$B$10:$L$46,7,FALSE)</f>
        <v>0.33197549770290963</v>
      </c>
      <c r="E35" s="31">
        <f t="shared" si="0"/>
        <v>22637.409188361409</v>
      </c>
      <c r="F35" s="6">
        <f t="shared" si="1"/>
        <v>2.2936177539365991E-2</v>
      </c>
      <c r="G35" s="14">
        <f t="shared" si="2"/>
        <v>99617.448095074884</v>
      </c>
      <c r="H35" s="10">
        <f t="shared" si="3"/>
        <v>1.460880599722465</v>
      </c>
    </row>
    <row r="36" spans="2:8" x14ac:dyDescent="0.4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4.9359376816427054E-4</v>
      </c>
      <c r="G36" s="14">
        <f t="shared" si="2"/>
        <v>2143.7988738866306</v>
      </c>
      <c r="H36" s="10">
        <f t="shared" si="3"/>
        <v>1.4887492179768269</v>
      </c>
    </row>
    <row r="37" spans="2:8" x14ac:dyDescent="0.4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8.2839443075095592E-3</v>
      </c>
      <c r="G37" s="14">
        <f t="shared" si="2"/>
        <v>35979.203189348686</v>
      </c>
      <c r="H37" s="10">
        <f t="shared" si="3"/>
        <v>1.3405068252365382</v>
      </c>
    </row>
    <row r="38" spans="2:8" x14ac:dyDescent="0.45">
      <c r="B38" s="20" t="str">
        <f>+'County Data'!$B$28</f>
        <v>Lake</v>
      </c>
      <c r="C38" s="15">
        <f>VLOOKUP($B38,'County Data'!$B$10:$L$46,2,FALSE)</f>
        <v>8080</v>
      </c>
      <c r="D38" s="29">
        <f>VLOOKUP($B38,'County Data'!$B$10:$L$46,7,FALSE)</f>
        <v>0.32648275862068965</v>
      </c>
      <c r="E38" s="31">
        <f t="shared" si="0"/>
        <v>2637.9806896551722</v>
      </c>
      <c r="F38" s="6">
        <f t="shared" si="1"/>
        <v>2.6727967383501534E-3</v>
      </c>
      <c r="G38" s="14">
        <f t="shared" si="2"/>
        <v>11608.612197664468</v>
      </c>
      <c r="H38" s="10">
        <f t="shared" si="3"/>
        <v>1.4367094304040184</v>
      </c>
    </row>
    <row r="39" spans="2:8" x14ac:dyDescent="0.45">
      <c r="B39" s="20" t="str">
        <f>+'County Data'!$B$26</f>
        <v>Josephine</v>
      </c>
      <c r="C39" s="15">
        <f>VLOOKUP($B39,'County Data'!$B$10:$L$46,2,FALSE)</f>
        <v>86750</v>
      </c>
      <c r="D39" s="29">
        <f>VLOOKUP($B39,'County Data'!$B$10:$L$46,7,FALSE)</f>
        <v>0.33520512729383611</v>
      </c>
      <c r="E39" s="31">
        <f t="shared" si="0"/>
        <v>29079.044792740282</v>
      </c>
      <c r="F39" s="6">
        <f t="shared" si="1"/>
        <v>2.9462829800522096E-2</v>
      </c>
      <c r="G39" s="14">
        <f t="shared" si="2"/>
        <v>127964.30064905513</v>
      </c>
      <c r="H39" s="10">
        <f t="shared" si="3"/>
        <v>1.4750928028709525</v>
      </c>
    </row>
    <row r="40" spans="2:8" x14ac:dyDescent="0.45">
      <c r="B40" s="20" t="str">
        <f>+'County Data'!$B$32</f>
        <v>Malheur</v>
      </c>
      <c r="C40" s="15">
        <f>VLOOKUP($B40,'County Data'!$B$10:$L$46,2,FALSE)</f>
        <v>32030</v>
      </c>
      <c r="D40" s="29">
        <f>VLOOKUP($B40,'County Data'!$B$10:$L$46,7,FALSE)</f>
        <v>0.36521673972500096</v>
      </c>
      <c r="E40" s="31">
        <f t="shared" si="0"/>
        <v>11697.892173391781</v>
      </c>
      <c r="F40" s="6">
        <f t="shared" si="1"/>
        <v>1.1852280863625402E-2</v>
      </c>
      <c r="G40" s="14">
        <f t="shared" si="2"/>
        <v>51477.364600705383</v>
      </c>
      <c r="H40" s="10">
        <f t="shared" si="3"/>
        <v>1.6071609303997934</v>
      </c>
    </row>
    <row r="41" spans="2:8" x14ac:dyDescent="0.45">
      <c r="B41" s="4" t="s">
        <v>2</v>
      </c>
      <c r="C41" s="5">
        <f>SUM(C7:C40)</f>
        <v>4236400</v>
      </c>
      <c r="D41" s="5"/>
      <c r="E41" s="5">
        <f>SUM(E7:E40)</f>
        <v>986973.92577765859</v>
      </c>
      <c r="F41" s="8">
        <f>SUM(F7:F40)</f>
        <v>0.99999999999999989</v>
      </c>
      <c r="G41" s="11">
        <f>SUM(G7:G40)</f>
        <v>4343245.421958332</v>
      </c>
      <c r="H41" s="12">
        <f t="shared" ref="H41" si="4">G41/C41</f>
        <v>1.0252208058630752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63910417</v>
      </c>
    </row>
    <row r="4" spans="2:8" x14ac:dyDescent="0.45">
      <c r="B4" t="s">
        <v>41</v>
      </c>
      <c r="C4" s="14">
        <f>'County Data'!J9</f>
        <v>4343245.4219583329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Data'!$B$11</f>
        <v>Benton</v>
      </c>
      <c r="C7" s="15">
        <f>VLOOKUP($B7,'County Data'!$B$10:$L$46,2,FALSE)</f>
        <v>94360</v>
      </c>
      <c r="D7" s="29">
        <f>VLOOKUP($B7,'County Data'!$B$10:$L$46,9,FALSE)</f>
        <v>4.5600029431241265E-2</v>
      </c>
      <c r="E7" s="31">
        <f t="shared" ref="E7:E40" si="0">C7*D7</f>
        <v>4302.8187771319253</v>
      </c>
      <c r="F7" s="6">
        <f t="shared" ref="F7:F40" si="1">E7/$E$41</f>
        <v>1.0519475325032057E-2</v>
      </c>
      <c r="G7" s="14">
        <f t="shared" ref="G7:G40" si="2">$C$4*F7</f>
        <v>45688.663046849128</v>
      </c>
      <c r="H7" s="10">
        <f t="shared" ref="H7:H40" si="3">G7/C7</f>
        <v>0.48419524212430193</v>
      </c>
    </row>
    <row r="8" spans="2:8" x14ac:dyDescent="0.45">
      <c r="B8" s="20" t="str">
        <f>+'County Data'!$B$12</f>
        <v>Clackamas</v>
      </c>
      <c r="C8" s="15">
        <f>VLOOKUP($B8,'County Data'!$B$10:$L$46,2,FALSE)</f>
        <v>423420</v>
      </c>
      <c r="D8" s="29">
        <f>VLOOKUP($B8,'County Data'!$B$10:$L$46,9,FALSE)</f>
        <v>6.7258416497069859E-2</v>
      </c>
      <c r="E8" s="31">
        <f t="shared" si="0"/>
        <v>28478.558713189319</v>
      </c>
      <c r="F8" s="6">
        <f t="shared" si="1"/>
        <v>6.9624009560439487E-2</v>
      </c>
      <c r="G8" s="14">
        <f t="shared" si="2"/>
        <v>302394.16078176198</v>
      </c>
      <c r="H8" s="10">
        <f t="shared" si="3"/>
        <v>0.71417070705626085</v>
      </c>
    </row>
    <row r="9" spans="2:8" x14ac:dyDescent="0.45">
      <c r="B9" s="20" t="str">
        <f>+'County Data'!$B$42</f>
        <v>Wallowa</v>
      </c>
      <c r="C9" s="15">
        <f>VLOOKUP($B9,'County Data'!$B$10:$L$46,2,FALSE)</f>
        <v>7150</v>
      </c>
      <c r="D9" s="29">
        <f>VLOOKUP($B9,'County Data'!$B$10:$L$46,9,FALSE)</f>
        <v>7.5023041474654384E-2</v>
      </c>
      <c r="E9" s="31">
        <f t="shared" si="0"/>
        <v>536.41474654377885</v>
      </c>
      <c r="F9" s="6">
        <f t="shared" si="1"/>
        <v>1.3114197884048131E-3</v>
      </c>
      <c r="G9" s="14">
        <f t="shared" si="2"/>
        <v>5695.8179922547697</v>
      </c>
      <c r="H9" s="10">
        <f t="shared" si="3"/>
        <v>0.79661790101465313</v>
      </c>
    </row>
    <row r="10" spans="2:8" x14ac:dyDescent="0.45">
      <c r="B10" s="20" t="str">
        <f>+'County Data'!$B$18</f>
        <v>Deschutes</v>
      </c>
      <c r="C10" s="15">
        <f>VLOOKUP($B10,'County Data'!$B$10:$L$46,2,FALSE)</f>
        <v>193000</v>
      </c>
      <c r="D10" s="29">
        <f>VLOOKUP($B10,'County Data'!$B$10:$L$46,9,FALSE)</f>
        <v>6.4709260039046049E-2</v>
      </c>
      <c r="E10" s="31">
        <f t="shared" si="0"/>
        <v>12488.887187535887</v>
      </c>
      <c r="F10" s="6">
        <f t="shared" si="1"/>
        <v>3.0532668794841213E-2</v>
      </c>
      <c r="G10" s="14">
        <f t="shared" si="2"/>
        <v>132610.87396336414</v>
      </c>
      <c r="H10" s="10">
        <f t="shared" si="3"/>
        <v>0.68710297390344111</v>
      </c>
    </row>
    <row r="11" spans="2:8" x14ac:dyDescent="0.4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5.047253332515907E-3</v>
      </c>
      <c r="G11" s="14">
        <f t="shared" si="2"/>
        <v>21921.459929913653</v>
      </c>
      <c r="H11" s="10">
        <f t="shared" si="3"/>
        <v>0.81674589902807948</v>
      </c>
    </row>
    <row r="12" spans="2:8" x14ac:dyDescent="0.45">
      <c r="B12" s="20" t="str">
        <f>+'County Data'!$B$13</f>
        <v>Clatsop</v>
      </c>
      <c r="C12" s="15">
        <f>VLOOKUP($B12,'County Data'!$B$10:$L$46,2,FALSE)</f>
        <v>39330</v>
      </c>
      <c r="D12" s="29">
        <f>VLOOKUP($B12,'County Data'!$B$10:$L$46,9,FALSE)</f>
        <v>8.4374440665831399E-2</v>
      </c>
      <c r="E12" s="31">
        <f t="shared" si="0"/>
        <v>3318.4467513871491</v>
      </c>
      <c r="F12" s="6">
        <f t="shared" si="1"/>
        <v>8.1128954126946269E-3</v>
      </c>
      <c r="G12" s="14">
        <f t="shared" si="2"/>
        <v>35236.295860012695</v>
      </c>
      <c r="H12" s="10">
        <f t="shared" si="3"/>
        <v>0.89591395525076778</v>
      </c>
    </row>
    <row r="13" spans="2:8" x14ac:dyDescent="0.4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2.7894618660762651E-4</v>
      </c>
      <c r="G13" s="14">
        <f t="shared" si="2"/>
        <v>1211.5317479563087</v>
      </c>
      <c r="H13" s="10">
        <f t="shared" si="3"/>
        <v>0.84134149163632543</v>
      </c>
    </row>
    <row r="14" spans="2:8" x14ac:dyDescent="0.45">
      <c r="B14" s="20" t="str">
        <f>+'County Data'!$B$29</f>
        <v>Lane</v>
      </c>
      <c r="C14" s="15">
        <f>VLOOKUP($B14,'County Data'!$B$10:$L$46,2,FALSE)</f>
        <v>378880</v>
      </c>
      <c r="D14" s="29">
        <f>VLOOKUP($B14,'County Data'!$B$10:$L$46,9,FALSE)</f>
        <v>8.6174325107355759E-2</v>
      </c>
      <c r="E14" s="31">
        <f t="shared" si="0"/>
        <v>32649.728296674952</v>
      </c>
      <c r="F14" s="6">
        <f t="shared" si="1"/>
        <v>7.9821630650874748E-2</v>
      </c>
      <c r="G14" s="14">
        <f t="shared" si="2"/>
        <v>346684.93189766072</v>
      </c>
      <c r="H14" s="10">
        <f t="shared" si="3"/>
        <v>0.91502568596299805</v>
      </c>
    </row>
    <row r="15" spans="2:8" x14ac:dyDescent="0.45">
      <c r="B15" s="20" t="str">
        <f>+'County Data'!$B$37</f>
        <v>Polk</v>
      </c>
      <c r="C15" s="15">
        <f>VLOOKUP($B15,'County Data'!$B$10:$L$46,2,FALSE)</f>
        <v>82940</v>
      </c>
      <c r="D15" s="29">
        <f>VLOOKUP($B15,'County Data'!$B$10:$L$46,9,FALSE)</f>
        <v>9.566050387968196E-2</v>
      </c>
      <c r="E15" s="31">
        <f t="shared" si="0"/>
        <v>7934.0821917808216</v>
      </c>
      <c r="F15" s="6">
        <f t="shared" si="1"/>
        <v>1.9397140843297859E-2</v>
      </c>
      <c r="G15" s="14">
        <f t="shared" si="2"/>
        <v>84246.543166734424</v>
      </c>
      <c r="H15" s="10">
        <f t="shared" si="3"/>
        <v>1.0157528715545505</v>
      </c>
    </row>
    <row r="16" spans="2:8" x14ac:dyDescent="0.45">
      <c r="B16" s="20" t="str">
        <f>+'County Data'!$B$44</f>
        <v>Washington</v>
      </c>
      <c r="C16" s="15">
        <f>VLOOKUP($B16,'County Data'!$B$10:$L$46,2,FALSE)</f>
        <v>613410</v>
      </c>
      <c r="D16" s="29">
        <f>VLOOKUP($B16,'County Data'!$B$10:$L$46,9,FALSE)</f>
        <v>8.3950044504063362E-2</v>
      </c>
      <c r="E16" s="31">
        <f t="shared" si="0"/>
        <v>51495.796799237505</v>
      </c>
      <c r="F16" s="6">
        <f t="shared" si="1"/>
        <v>0.12589625355626144</v>
      </c>
      <c r="G16" s="14">
        <f t="shared" si="2"/>
        <v>546798.32689993794</v>
      </c>
      <c r="H16" s="10">
        <f t="shared" si="3"/>
        <v>0.89140758530173614</v>
      </c>
    </row>
    <row r="17" spans="2:8" x14ac:dyDescent="0.45">
      <c r="B17" s="20" t="str">
        <f>+'County Data'!$B$35</f>
        <v>Multnomah</v>
      </c>
      <c r="C17" s="15">
        <f>VLOOKUP($B17,'County Data'!$B$10:$L$46,2,FALSE)</f>
        <v>821730</v>
      </c>
      <c r="D17" s="29">
        <f>VLOOKUP($B17,'County Data'!$B$10:$L$46,9,FALSE)</f>
        <v>8.7056662281201555E-2</v>
      </c>
      <c r="E17" s="31">
        <f t="shared" si="0"/>
        <v>71537.071096331754</v>
      </c>
      <c r="F17" s="6">
        <f t="shared" si="1"/>
        <v>0.17489290002692878</v>
      </c>
      <c r="G17" s="14">
        <f t="shared" si="2"/>
        <v>759602.78737497481</v>
      </c>
      <c r="H17" s="10">
        <f t="shared" si="3"/>
        <v>0.92439461547585555</v>
      </c>
    </row>
    <row r="18" spans="2:8" x14ac:dyDescent="0.45">
      <c r="B18" s="20" t="str">
        <f>+'County Data'!$B$10</f>
        <v>Baker</v>
      </c>
      <c r="C18" s="15">
        <f>VLOOKUP($B18,'County Data'!$B$10:$L$46,2,FALSE)</f>
        <v>16820</v>
      </c>
      <c r="D18" s="29">
        <f>VLOOKUP($B18,'County Data'!$B$10:$L$46,9,FALSE)</f>
        <v>0.10388846896783405</v>
      </c>
      <c r="E18" s="31">
        <f t="shared" si="0"/>
        <v>1747.4040480389688</v>
      </c>
      <c r="F18" s="6">
        <f t="shared" si="1"/>
        <v>4.2720306660136787E-3</v>
      </c>
      <c r="G18" s="14">
        <f t="shared" si="2"/>
        <v>18554.477632629518</v>
      </c>
      <c r="H18" s="10">
        <f t="shared" si="3"/>
        <v>1.1031199543774981</v>
      </c>
    </row>
    <row r="19" spans="2:8" x14ac:dyDescent="0.45">
      <c r="B19" s="20" t="str">
        <f>+'County Data'!$B$14</f>
        <v>Columbia</v>
      </c>
      <c r="C19" s="15">
        <f>VLOOKUP($B19,'County Data'!$B$10:$L$46,2,FALSE)</f>
        <v>52750</v>
      </c>
      <c r="D19" s="29">
        <f>VLOOKUP($B19,'County Data'!$B$10:$L$46,9,FALSE)</f>
        <v>9.5876003321339609E-2</v>
      </c>
      <c r="E19" s="31">
        <f t="shared" si="0"/>
        <v>5057.4591752006645</v>
      </c>
      <c r="F19" s="6">
        <f t="shared" si="1"/>
        <v>1.2364410345058134E-2</v>
      </c>
      <c r="G19" s="14">
        <f t="shared" si="2"/>
        <v>53701.668626387989</v>
      </c>
      <c r="H19" s="10">
        <f t="shared" si="3"/>
        <v>1.0180411114007202</v>
      </c>
    </row>
    <row r="20" spans="2:8" x14ac:dyDescent="0.45">
      <c r="B20" s="20" t="str">
        <f>+'County Data'!$B$39</f>
        <v>Tillamook</v>
      </c>
      <c r="C20" s="15">
        <f>VLOOKUP($B20,'County Data'!$B$10:$L$46,2,FALSE)</f>
        <v>26500</v>
      </c>
      <c r="D20" s="29">
        <f>VLOOKUP($B20,'County Data'!$B$10:$L$46,9,FALSE)</f>
        <v>9.6828904764352158E-2</v>
      </c>
      <c r="E20" s="31">
        <f t="shared" si="0"/>
        <v>2565.9659762553324</v>
      </c>
      <c r="F20" s="6">
        <f t="shared" si="1"/>
        <v>6.2732402107071499E-3</v>
      </c>
      <c r="G20" s="14">
        <f t="shared" si="2"/>
        <v>27246.221825998757</v>
      </c>
      <c r="H20" s="10">
        <f t="shared" si="3"/>
        <v>1.0281593141886323</v>
      </c>
    </row>
    <row r="21" spans="2:8" x14ac:dyDescent="0.45">
      <c r="B21" s="20" t="str">
        <f>+'County Data'!$B$17</f>
        <v>Curry</v>
      </c>
      <c r="C21" s="15">
        <f>VLOOKUP($B21,'County Data'!$B$10:$L$46,2,FALSE)</f>
        <v>23000</v>
      </c>
      <c r="D21" s="29">
        <f>VLOOKUP($B21,'County Data'!$B$10:$L$46,9,FALSE)</f>
        <v>0.10947055258663435</v>
      </c>
      <c r="E21" s="31">
        <f t="shared" si="0"/>
        <v>2517.8227094925901</v>
      </c>
      <c r="F21" s="6">
        <f t="shared" si="1"/>
        <v>6.1555401789352617E-3</v>
      </c>
      <c r="G21" s="14">
        <f t="shared" si="2"/>
        <v>26735.021701841153</v>
      </c>
      <c r="H21" s="10">
        <f t="shared" si="3"/>
        <v>1.162392247906137</v>
      </c>
    </row>
    <row r="22" spans="2:8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Data'!$B$10:$L$46,9,FALSE)</f>
        <v>0.10089543820066277</v>
      </c>
      <c r="E22" s="31">
        <f t="shared" si="0"/>
        <v>12768.317704293873</v>
      </c>
      <c r="F22" s="6">
        <f t="shared" si="1"/>
        <v>3.1215816884116752E-2</v>
      </c>
      <c r="G22" s="14">
        <f t="shared" si="2"/>
        <v>135577.95377462971</v>
      </c>
      <c r="H22" s="10">
        <f t="shared" si="3"/>
        <v>1.0713390262712739</v>
      </c>
    </row>
    <row r="23" spans="2:8" x14ac:dyDescent="0.45">
      <c r="B23" s="20" t="str">
        <f>+'County Data'!$B$21</f>
        <v>Grant</v>
      </c>
      <c r="C23" s="15">
        <f>VLOOKUP($B23,'County Data'!$B$10:$L$46,2,FALSE)</f>
        <v>7360</v>
      </c>
      <c r="D23" s="29">
        <f>VLOOKUP($B23,'County Data'!$B$10:$L$46,9,FALSE)</f>
        <v>0.11228389444949954</v>
      </c>
      <c r="E23" s="31">
        <f t="shared" si="0"/>
        <v>826.4094631483166</v>
      </c>
      <c r="F23" s="6">
        <f t="shared" si="1"/>
        <v>2.0203950959227592E-3</v>
      </c>
      <c r="G23" s="14">
        <f t="shared" si="2"/>
        <v>8775.0717509135902</v>
      </c>
      <c r="H23" s="10">
        <f t="shared" si="3"/>
        <v>1.1922651835480422</v>
      </c>
    </row>
    <row r="24" spans="2:8" x14ac:dyDescent="0.45">
      <c r="B24" s="20" t="str">
        <f>+'County Data'!$B$22</f>
        <v>Harney</v>
      </c>
      <c r="C24" s="15">
        <f>VLOOKUP($B24,'County Data'!$B$10:$L$46,2,FALSE)</f>
        <v>7360</v>
      </c>
      <c r="D24" s="29">
        <f>VLOOKUP($B24,'County Data'!$B$10:$L$46,9,FALSE)</f>
        <v>0.1021883920076118</v>
      </c>
      <c r="E24" s="31">
        <f t="shared" si="0"/>
        <v>752.10656517602285</v>
      </c>
      <c r="F24" s="6">
        <f t="shared" si="1"/>
        <v>1.8387403383596441E-3</v>
      </c>
      <c r="G24" s="14">
        <f t="shared" si="2"/>
        <v>7986.10055675064</v>
      </c>
      <c r="H24" s="10">
        <f t="shared" si="3"/>
        <v>1.0850680104280761</v>
      </c>
    </row>
    <row r="25" spans="2:8" x14ac:dyDescent="0.45">
      <c r="B25" s="20" t="str">
        <f>+'County Data'!$B$30</f>
        <v>Lincoln</v>
      </c>
      <c r="C25" s="15">
        <f>VLOOKUP($B25,'County Data'!$B$10:$L$46,2,FALSE)</f>
        <v>48260</v>
      </c>
      <c r="D25" s="29">
        <f>VLOOKUP($B25,'County Data'!$B$10:$L$46,9,FALSE)</f>
        <v>9.4152142042677966E-2</v>
      </c>
      <c r="E25" s="31">
        <f t="shared" si="0"/>
        <v>4543.7823749796389</v>
      </c>
      <c r="F25" s="6">
        <f t="shared" si="1"/>
        <v>1.1108579991782528E-2</v>
      </c>
      <c r="G25" s="14">
        <f t="shared" si="2"/>
        <v>48247.289193767399</v>
      </c>
      <c r="H25" s="10">
        <f t="shared" si="3"/>
        <v>0.99973661818830084</v>
      </c>
    </row>
    <row r="26" spans="2:8" x14ac:dyDescent="0.45">
      <c r="B26" s="20" t="str">
        <f>+'County Data'!$B$19</f>
        <v>Douglas</v>
      </c>
      <c r="C26" s="15">
        <f>VLOOKUP($B26,'County Data'!$B$10:$L$46,2,FALSE)</f>
        <v>112250</v>
      </c>
      <c r="D26" s="29">
        <f>VLOOKUP($B26,'County Data'!$B$10:$L$46,9,FALSE)</f>
        <v>0.10892266853651207</v>
      </c>
      <c r="E26" s="31">
        <f t="shared" si="0"/>
        <v>12226.569543223481</v>
      </c>
      <c r="F26" s="6">
        <f t="shared" si="1"/>
        <v>2.9891358033316596E-2</v>
      </c>
      <c r="G26" s="14">
        <f t="shared" si="2"/>
        <v>129825.50393431974</v>
      </c>
      <c r="H26" s="10">
        <f t="shared" si="3"/>
        <v>1.156574645294608</v>
      </c>
    </row>
    <row r="27" spans="2:8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Data'!$B$10:$L$46,9,FALSE)</f>
        <v>0.10373965023348289</v>
      </c>
      <c r="E27" s="31">
        <f t="shared" si="0"/>
        <v>22956.547200167428</v>
      </c>
      <c r="F27" s="6">
        <f t="shared" si="1"/>
        <v>5.6123867708196266E-2</v>
      </c>
      <c r="G27" s="14">
        <f t="shared" si="2"/>
        <v>243759.73148621854</v>
      </c>
      <c r="H27" s="10">
        <f t="shared" si="3"/>
        <v>1.1015397509431901</v>
      </c>
    </row>
    <row r="28" spans="2:8" x14ac:dyDescent="0.45">
      <c r="B28" s="20" t="str">
        <f>+'County Data'!$B$15</f>
        <v>Coos</v>
      </c>
      <c r="C28" s="15">
        <f>VLOOKUP($B28,'County Data'!$B$10:$L$46,2,FALSE)</f>
        <v>63290</v>
      </c>
      <c r="D28" s="29">
        <f>VLOOKUP($B28,'County Data'!$B$10:$L$46,9,FALSE)</f>
        <v>0.11153339844579388</v>
      </c>
      <c r="E28" s="31">
        <f t="shared" si="0"/>
        <v>7058.9487876342946</v>
      </c>
      <c r="F28" s="6">
        <f t="shared" si="1"/>
        <v>1.7257626090792528E-2</v>
      </c>
      <c r="G28" s="14">
        <f t="shared" si="2"/>
        <v>74954.105512703332</v>
      </c>
      <c r="H28" s="10">
        <f t="shared" si="3"/>
        <v>1.1842961844320323</v>
      </c>
    </row>
    <row r="29" spans="2:8" x14ac:dyDescent="0.45">
      <c r="B29" s="20" t="str">
        <f>+'County Data'!$B$26</f>
        <v>Josephine</v>
      </c>
      <c r="C29" s="15">
        <f>VLOOKUP($B29,'County Data'!$B$10:$L$46,2,FALSE)</f>
        <v>86750</v>
      </c>
      <c r="D29" s="29">
        <f>VLOOKUP($B29,'County Data'!$B$10:$L$46,9,FALSE)</f>
        <v>9.7927181538266198E-2</v>
      </c>
      <c r="E29" s="31">
        <f t="shared" si="0"/>
        <v>8495.1829984445922</v>
      </c>
      <c r="F29" s="6">
        <f t="shared" si="1"/>
        <v>2.0768912790079558E-2</v>
      </c>
      <c r="G29" s="14">
        <f t="shared" si="2"/>
        <v>90204.485394564908</v>
      </c>
      <c r="H29" s="10">
        <f t="shared" si="3"/>
        <v>1.0398211572860507</v>
      </c>
    </row>
    <row r="30" spans="2:8" x14ac:dyDescent="0.45">
      <c r="B30" s="20" t="str">
        <f>+'County Data'!$B$46</f>
        <v>Yamhill</v>
      </c>
      <c r="C30" s="15">
        <f>VLOOKUP($B30,'County Data'!$B$10:$L$46,2,FALSE)</f>
        <v>108060</v>
      </c>
      <c r="D30" s="29">
        <f>VLOOKUP($B30,'County Data'!$B$10:$L$46,9,FALSE)</f>
        <v>0.11749373577949944</v>
      </c>
      <c r="E30" s="31">
        <f t="shared" si="0"/>
        <v>12696.37308833271</v>
      </c>
      <c r="F30" s="6">
        <f t="shared" si="1"/>
        <v>3.1039927623710384E-2</v>
      </c>
      <c r="G30" s="14">
        <f t="shared" si="2"/>
        <v>134814.02354959812</v>
      </c>
      <c r="H30" s="10">
        <f t="shared" si="3"/>
        <v>1.247584893111217</v>
      </c>
    </row>
    <row r="31" spans="2:8" x14ac:dyDescent="0.45">
      <c r="B31" s="20" t="str">
        <f>+'County Data'!$B$27</f>
        <v>Klamath</v>
      </c>
      <c r="C31" s="15">
        <f>VLOOKUP($B31,'County Data'!$B$10:$L$46,2,FALSE)</f>
        <v>68190</v>
      </c>
      <c r="D31" s="29">
        <f>VLOOKUP($B31,'County Data'!$B$10:$L$46,9,FALSE)</f>
        <v>0.12596828136800087</v>
      </c>
      <c r="E31" s="31">
        <f t="shared" si="0"/>
        <v>8589.7771064839799</v>
      </c>
      <c r="F31" s="6">
        <f t="shared" si="1"/>
        <v>2.1000175233829754E-2</v>
      </c>
      <c r="G31" s="14">
        <f t="shared" si="2"/>
        <v>91208.914944653836</v>
      </c>
      <c r="H31" s="10">
        <f t="shared" si="3"/>
        <v>1.3375702440922985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7.1279305441038143E-3</v>
      </c>
      <c r="G32" s="14">
        <f t="shared" si="2"/>
        <v>30958.35170371586</v>
      </c>
      <c r="H32" s="10">
        <f t="shared" si="3"/>
        <v>1.3207487928206425</v>
      </c>
    </row>
    <row r="33" spans="2:8" x14ac:dyDescent="0.45">
      <c r="B33" s="20" t="str">
        <f>+'County Data'!$B$36</f>
        <v>Gilliam, Sherman, Wasco</v>
      </c>
      <c r="C33" s="15">
        <f>VLOOKUP($B33,'County Data'!$B$10:$L$46,2,FALSE)</f>
        <v>31000</v>
      </c>
      <c r="D33" s="29">
        <f>VLOOKUP($B33,'County Data'!$B$10:$L$46,9,FALSE)</f>
        <v>0.13515598630599354</v>
      </c>
      <c r="E33" s="31">
        <f t="shared" si="0"/>
        <v>4189.8355754857994</v>
      </c>
      <c r="F33" s="6">
        <f t="shared" si="1"/>
        <v>1.0243255464652122E-2</v>
      </c>
      <c r="G33" s="14">
        <f t="shared" si="2"/>
        <v>44488.972402800006</v>
      </c>
      <c r="H33" s="10">
        <f t="shared" si="3"/>
        <v>1.4351281420258066</v>
      </c>
    </row>
    <row r="34" spans="2:8" x14ac:dyDescent="0.45">
      <c r="B34" s="20" t="str">
        <f>+'County Data'!$B$33</f>
        <v>Marion</v>
      </c>
      <c r="C34" s="15">
        <f>VLOOKUP($B34,'County Data'!$B$10:$L$46,2,FALSE)</f>
        <v>347760</v>
      </c>
      <c r="D34" s="29">
        <f>VLOOKUP($B34,'County Data'!$B$10:$L$46,9,FALSE)</f>
        <v>0.14741470645743621</v>
      </c>
      <c r="E34" s="31">
        <f t="shared" si="0"/>
        <v>51264.938317638014</v>
      </c>
      <c r="F34" s="6">
        <f t="shared" si="1"/>
        <v>0.1253318537461493</v>
      </c>
      <c r="G34" s="14">
        <f t="shared" si="2"/>
        <v>544347.00000851427</v>
      </c>
      <c r="H34" s="10">
        <f t="shared" si="3"/>
        <v>1.5652950310803837</v>
      </c>
    </row>
    <row r="35" spans="2:8" x14ac:dyDescent="0.45">
      <c r="B35" s="20" t="str">
        <f>+'County Data'!$B$28</f>
        <v>Lake</v>
      </c>
      <c r="C35" s="15">
        <f>VLOOKUP($B35,'County Data'!$B$10:$L$46,2,FALSE)</f>
        <v>8080</v>
      </c>
      <c r="D35" s="29">
        <f>VLOOKUP($B35,'County Data'!$B$10:$L$46,9,FALSE)</f>
        <v>0.13104736038024103</v>
      </c>
      <c r="E35" s="31">
        <f t="shared" si="0"/>
        <v>1058.8626718723476</v>
      </c>
      <c r="F35" s="6">
        <f t="shared" si="1"/>
        <v>2.5886936741461473E-3</v>
      </c>
      <c r="G35" s="14">
        <f t="shared" si="2"/>
        <v>11243.331949087751</v>
      </c>
      <c r="H35" s="10">
        <f t="shared" si="3"/>
        <v>1.391501478847494</v>
      </c>
    </row>
    <row r="36" spans="2:8" x14ac:dyDescent="0.45">
      <c r="B36" s="20" t="str">
        <f>+'County Data'!$B$25</f>
        <v>Jefferson</v>
      </c>
      <c r="C36" s="15">
        <f>VLOOKUP($B36,'County Data'!$B$10:$L$46,2,FALSE)</f>
        <v>23840</v>
      </c>
      <c r="D36" s="29">
        <f>VLOOKUP($B36,'County Data'!$B$10:$L$46,9,FALSE)</f>
        <v>0.14004805260495701</v>
      </c>
      <c r="E36" s="31">
        <f t="shared" si="0"/>
        <v>3338.7455741021749</v>
      </c>
      <c r="F36" s="6">
        <f t="shared" si="1"/>
        <v>8.1625217101842576E-3</v>
      </c>
      <c r="G36" s="14">
        <f t="shared" si="2"/>
        <v>35451.835049393281</v>
      </c>
      <c r="H36" s="10">
        <f t="shared" si="3"/>
        <v>1.4870736178436779</v>
      </c>
    </row>
    <row r="37" spans="2:8" x14ac:dyDescent="0.45">
      <c r="B37" s="20" t="str">
        <f>+'County Data'!$B$40</f>
        <v>Umatilla</v>
      </c>
      <c r="C37" s="15">
        <f>VLOOKUP($B37,'County Data'!$B$10:$L$46,2,FALSE)</f>
        <v>81160</v>
      </c>
      <c r="D37" s="29">
        <f>VLOOKUP($B37,'County Data'!$B$10:$L$46,9,FALSE)</f>
        <v>0.1782276866667995</v>
      </c>
      <c r="E37" s="31">
        <f t="shared" si="0"/>
        <v>14464.959049877447</v>
      </c>
      <c r="F37" s="6">
        <f t="shared" si="1"/>
        <v>3.5363743556081344E-2</v>
      </c>
      <c r="G37" s="14">
        <f t="shared" si="2"/>
        <v>153593.41730325879</v>
      </c>
      <c r="H37" s="10">
        <f t="shared" si="3"/>
        <v>1.8924768026522769</v>
      </c>
    </row>
    <row r="38" spans="2:8" x14ac:dyDescent="0.45">
      <c r="B38" s="20" t="str">
        <f>+'County Data'!$B$23</f>
        <v>Hood River</v>
      </c>
      <c r="C38" s="15">
        <f>VLOOKUP($B38,'County Data'!$B$10:$L$46,2,FALSE)</f>
        <v>25480</v>
      </c>
      <c r="D38" s="29">
        <f>VLOOKUP($B38,'County Data'!$B$10:$L$46,9,FALSE)</f>
        <v>0.18945337620578778</v>
      </c>
      <c r="E38" s="31">
        <f t="shared" si="0"/>
        <v>4827.2720257234723</v>
      </c>
      <c r="F38" s="6">
        <f t="shared" si="1"/>
        <v>1.1801651798978064E-2</v>
      </c>
      <c r="G38" s="14">
        <f t="shared" si="2"/>
        <v>51257.470147457803</v>
      </c>
      <c r="H38" s="10">
        <f t="shared" si="3"/>
        <v>2.0116746525689875</v>
      </c>
    </row>
    <row r="39" spans="2:8" x14ac:dyDescent="0.45">
      <c r="B39" s="20" t="str">
        <f>+'County Data'!$B$32</f>
        <v>Malheur</v>
      </c>
      <c r="C39" s="15">
        <f>VLOOKUP($B39,'County Data'!$B$10:$L$46,2,FALSE)</f>
        <v>32030</v>
      </c>
      <c r="D39" s="29">
        <f>VLOOKUP($B39,'County Data'!$B$10:$L$46,9,FALSE)</f>
        <v>0.1910630959626699</v>
      </c>
      <c r="E39" s="31">
        <f t="shared" si="0"/>
        <v>6119.750963684317</v>
      </c>
      <c r="F39" s="6">
        <f t="shared" si="1"/>
        <v>1.4961487478849617E-2</v>
      </c>
      <c r="G39" s="14">
        <f t="shared" si="2"/>
        <v>64981.411998200521</v>
      </c>
      <c r="H39" s="10">
        <f t="shared" si="3"/>
        <v>2.0287671557352644</v>
      </c>
    </row>
    <row r="40" spans="2:8" x14ac:dyDescent="0.45">
      <c r="B40" s="20" t="str">
        <f>+'County Data'!$B$34</f>
        <v>Morrow</v>
      </c>
      <c r="C40" s="15">
        <f>VLOOKUP($B40,'County Data'!$B$10:$L$46,2,FALSE)</f>
        <v>12680</v>
      </c>
      <c r="D40" s="29">
        <f>VLOOKUP($B40,'County Data'!$B$10:$L$46,9,FALSE)</f>
        <v>0.24689265536723165</v>
      </c>
      <c r="E40" s="31">
        <f t="shared" si="0"/>
        <v>3130.5988700564972</v>
      </c>
      <c r="F40" s="6">
        <f t="shared" si="1"/>
        <v>7.6536473581357272E-3</v>
      </c>
      <c r="G40" s="14">
        <f t="shared" si="2"/>
        <v>33241.668849506488</v>
      </c>
      <c r="H40" s="10">
        <f t="shared" si="3"/>
        <v>2.6215827168380512</v>
      </c>
    </row>
    <row r="41" spans="2:8" x14ac:dyDescent="0.45">
      <c r="B41" s="4" t="s">
        <v>2</v>
      </c>
      <c r="C41" s="5">
        <f>SUM(C6:C40)</f>
        <v>4236400</v>
      </c>
      <c r="D41" s="5"/>
      <c r="E41" s="5">
        <f>SUM(E6:E40)</f>
        <v>409033.591902913</v>
      </c>
      <c r="F41" s="8">
        <f>SUM(F6:F40)</f>
        <v>0.99999999999999967</v>
      </c>
      <c r="G41" s="11">
        <f>SUM(G6:G40)</f>
        <v>4343245.421958332</v>
      </c>
      <c r="H41" s="12">
        <f t="shared" ref="H41" si="4">G41/C41</f>
        <v>1.0252208058630752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  <col min="10" max="10" width="10.59765625" bestFit="1" customWidth="1"/>
  </cols>
  <sheetData>
    <row r="3" spans="2:10" x14ac:dyDescent="0.45">
      <c r="B3" t="s">
        <v>0</v>
      </c>
      <c r="C3" s="1">
        <f>'County Data'!C5</f>
        <v>63910417</v>
      </c>
    </row>
    <row r="4" spans="2:10" x14ac:dyDescent="0.45">
      <c r="B4" t="s">
        <v>41</v>
      </c>
      <c r="C4" s="14">
        <f>'County Data'!K9</f>
        <v>8686490.8439166658</v>
      </c>
      <c r="D4" s="9"/>
    </row>
    <row r="6" spans="2:10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4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4.2714678659911915E-6</v>
      </c>
      <c r="G7" s="14">
        <f t="shared" ref="G7:G40" si="2">$C$4*F7</f>
        <v>37.104066508016743</v>
      </c>
      <c r="H7" s="10">
        <f t="shared" ref="H7:H40" si="3">G7/C7</f>
        <v>2.5766712852789406E-2</v>
      </c>
      <c r="J7" s="32"/>
    </row>
    <row r="8" spans="2:10" x14ac:dyDescent="0.4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1.2133272188862762E-3</v>
      </c>
      <c r="G8" s="14">
        <f t="shared" si="2"/>
        <v>10539.555777530511</v>
      </c>
      <c r="H8" s="10">
        <f t="shared" si="3"/>
        <v>0.44963975160113101</v>
      </c>
      <c r="J8" s="32"/>
    </row>
    <row r="9" spans="2:10" x14ac:dyDescent="0.45">
      <c r="B9" s="20" t="str">
        <f>+'County Data'!$B$42</f>
        <v>Wallowa</v>
      </c>
      <c r="C9" s="15">
        <f>VLOOKUP($B9,'County Data'!$B$10:$L$46,2,FALSE)</f>
        <v>7150</v>
      </c>
      <c r="D9" s="29">
        <f>VLOOKUP($B9,'County Data'!$B$10:$L$46,10,FALSE)</f>
        <v>1.0912397696271597E-2</v>
      </c>
      <c r="E9" s="31">
        <f t="shared" si="0"/>
        <v>78.023643528341921</v>
      </c>
      <c r="F9" s="6">
        <f t="shared" si="1"/>
        <v>3.1429729871487326E-4</v>
      </c>
      <c r="G9" s="14">
        <f t="shared" si="2"/>
        <v>2730.1406075544878</v>
      </c>
      <c r="H9" s="10">
        <f t="shared" si="3"/>
        <v>0.38183784721041786</v>
      </c>
      <c r="J9" s="32"/>
    </row>
    <row r="10" spans="2:10" x14ac:dyDescent="0.45">
      <c r="B10" s="20" t="str">
        <f>+'County Data'!$B$21</f>
        <v>Grant</v>
      </c>
      <c r="C10" s="15">
        <f>VLOOKUP($B10,'County Data'!$B$10:$L$46,2,FALSE)</f>
        <v>7360</v>
      </c>
      <c r="D10" s="29">
        <f>VLOOKUP($B10,'County Data'!$B$10:$L$46,10,FALSE)</f>
        <v>6.2718786464410732E-3</v>
      </c>
      <c r="E10" s="31">
        <f t="shared" si="0"/>
        <v>46.161026837806297</v>
      </c>
      <c r="F10" s="6">
        <f t="shared" si="1"/>
        <v>1.8594730244502337E-4</v>
      </c>
      <c r="G10" s="14">
        <f t="shared" si="2"/>
        <v>1615.2295401396987</v>
      </c>
      <c r="H10" s="10">
        <f t="shared" si="3"/>
        <v>0.21946053534506776</v>
      </c>
      <c r="J10" s="32"/>
    </row>
    <row r="11" spans="2:10" x14ac:dyDescent="0.45">
      <c r="B11" s="20" t="str">
        <f>+'County Data'!$B$10</f>
        <v>Baker</v>
      </c>
      <c r="C11" s="15">
        <f>VLOOKUP($B11,'County Data'!$B$10:$L$46,2,FALSE)</f>
        <v>16820</v>
      </c>
      <c r="D11" s="29">
        <f>VLOOKUP($B11,'County Data'!$B$10:$L$46,10,FALSE)</f>
        <v>1.370043472533263E-2</v>
      </c>
      <c r="E11" s="31">
        <f t="shared" si="0"/>
        <v>230.44131208009483</v>
      </c>
      <c r="F11" s="6">
        <f t="shared" si="1"/>
        <v>9.2827095254499246E-4</v>
      </c>
      <c r="G11" s="14">
        <f t="shared" si="2"/>
        <v>8063.4171299558784</v>
      </c>
      <c r="H11" s="10">
        <f t="shared" si="3"/>
        <v>0.47939459750034946</v>
      </c>
      <c r="J11" s="32"/>
    </row>
    <row r="12" spans="2:10" x14ac:dyDescent="0.45">
      <c r="B12" s="20" t="str">
        <f>+'County Data'!$B$19</f>
        <v>Douglas</v>
      </c>
      <c r="C12" s="15">
        <f>VLOOKUP($B12,'County Data'!$B$10:$L$46,2,FALSE)</f>
        <v>112250</v>
      </c>
      <c r="D12" s="29">
        <f>VLOOKUP($B12,'County Data'!$B$10:$L$46,10,FALSE)</f>
        <v>1.1854937610714216E-2</v>
      </c>
      <c r="E12" s="31">
        <f t="shared" si="0"/>
        <v>1330.7167468026707</v>
      </c>
      <c r="F12" s="6">
        <f t="shared" si="1"/>
        <v>5.3604351189110817E-3</v>
      </c>
      <c r="G12" s="14">
        <f t="shared" si="2"/>
        <v>46563.370579830458</v>
      </c>
      <c r="H12" s="10">
        <f t="shared" si="3"/>
        <v>0.41481844614548291</v>
      </c>
      <c r="J12" s="32"/>
    </row>
    <row r="13" spans="2:10" x14ac:dyDescent="0.45">
      <c r="B13" s="20" t="str">
        <f>+'County Data'!$B$17</f>
        <v>Curry</v>
      </c>
      <c r="C13" s="15">
        <f>VLOOKUP($B13,'County Data'!$B$10:$L$46,2,FALSE)</f>
        <v>23000</v>
      </c>
      <c r="D13" s="29">
        <f>VLOOKUP($B13,'County Data'!$B$10:$L$46,10,FALSE)</f>
        <v>1.3102458447150332E-2</v>
      </c>
      <c r="E13" s="31">
        <f t="shared" si="0"/>
        <v>301.35654428445764</v>
      </c>
      <c r="F13" s="6">
        <f t="shared" si="1"/>
        <v>1.2139339248397043E-3</v>
      </c>
      <c r="G13" s="14">
        <f t="shared" si="2"/>
        <v>10544.825923239914</v>
      </c>
      <c r="H13" s="10">
        <f t="shared" si="3"/>
        <v>0.45847069231477888</v>
      </c>
      <c r="J13" s="32"/>
    </row>
    <row r="14" spans="2:10" x14ac:dyDescent="0.45">
      <c r="B14" s="20" t="str">
        <f>+'County Data'!$B$26</f>
        <v>Josephine</v>
      </c>
      <c r="C14" s="15">
        <f>VLOOKUP($B14,'County Data'!$B$10:$L$46,2,FALSE)</f>
        <v>86750</v>
      </c>
      <c r="D14" s="29">
        <f>VLOOKUP($B14,'County Data'!$B$10:$L$46,10,FALSE)</f>
        <v>1.3108498984552895E-2</v>
      </c>
      <c r="E14" s="31">
        <f t="shared" si="0"/>
        <v>1137.1622869099638</v>
      </c>
      <c r="F14" s="6">
        <f t="shared" si="1"/>
        <v>4.5807529463348113E-3</v>
      </c>
      <c r="G14" s="14">
        <f t="shared" si="2"/>
        <v>39790.668526581627</v>
      </c>
      <c r="H14" s="10">
        <f t="shared" si="3"/>
        <v>0.45868205794330408</v>
      </c>
      <c r="J14" s="32"/>
    </row>
    <row r="15" spans="2:10" x14ac:dyDescent="0.45">
      <c r="B15" s="20" t="str">
        <f>+'County Data'!$B$14</f>
        <v>Columbia</v>
      </c>
      <c r="C15" s="15">
        <f>VLOOKUP($B15,'County Data'!$B$10:$L$46,2,FALSE)</f>
        <v>52750</v>
      </c>
      <c r="D15" s="29">
        <f>VLOOKUP($B15,'County Data'!$B$10:$L$46,10,FALSE)</f>
        <v>1.3475133196508903E-2</v>
      </c>
      <c r="E15" s="31">
        <f t="shared" si="0"/>
        <v>710.81327611584459</v>
      </c>
      <c r="F15" s="6">
        <f t="shared" si="1"/>
        <v>2.8633204304632002E-3</v>
      </c>
      <c r="G15" s="14">
        <f t="shared" si="2"/>
        <v>24872.206702418116</v>
      </c>
      <c r="H15" s="10">
        <f t="shared" si="3"/>
        <v>0.47151102753399271</v>
      </c>
      <c r="J15" s="32"/>
    </row>
    <row r="16" spans="2:10" x14ac:dyDescent="0.4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1.7375590604624047E-3</v>
      </c>
      <c r="G16" s="14">
        <f t="shared" si="2"/>
        <v>15093.290869471122</v>
      </c>
      <c r="H16" s="10">
        <f t="shared" si="3"/>
        <v>0.56234317695495983</v>
      </c>
      <c r="J16" s="32"/>
    </row>
    <row r="17" spans="2:10" x14ac:dyDescent="0.45">
      <c r="B17" s="20" t="str">
        <f>+'County Data'!$B$15</f>
        <v>Coos</v>
      </c>
      <c r="C17" s="15">
        <f>VLOOKUP($B17,'County Data'!$B$10:$L$46,2,FALSE)</f>
        <v>63290</v>
      </c>
      <c r="D17" s="29">
        <f>VLOOKUP($B17,'County Data'!$B$10:$L$46,10,FALSE)</f>
        <v>1.4799926913941166E-2</v>
      </c>
      <c r="E17" s="31">
        <f t="shared" si="0"/>
        <v>936.68737438333642</v>
      </c>
      <c r="F17" s="6">
        <f t="shared" si="1"/>
        <v>3.7731935884546364E-3</v>
      </c>
      <c r="G17" s="14">
        <f t="shared" si="2"/>
        <v>32775.811558436268</v>
      </c>
      <c r="H17" s="10">
        <f t="shared" si="3"/>
        <v>0.51786714423188918</v>
      </c>
      <c r="J17" s="32"/>
    </row>
    <row r="18" spans="2:10" x14ac:dyDescent="0.45">
      <c r="B18" s="20" t="str">
        <f>+'County Data'!$B$22</f>
        <v>Harney</v>
      </c>
      <c r="C18" s="15">
        <f>VLOOKUP($B18,'County Data'!$B$10:$L$46,2,FALSE)</f>
        <v>7360</v>
      </c>
      <c r="D18" s="29">
        <f>VLOOKUP($B18,'County Data'!$B$10:$L$46,10,FALSE)</f>
        <v>1.5169194865810968E-2</v>
      </c>
      <c r="E18" s="31">
        <f t="shared" si="0"/>
        <v>111.64527421236873</v>
      </c>
      <c r="F18" s="6">
        <f t="shared" si="1"/>
        <v>4.4973301056470776E-4</v>
      </c>
      <c r="G18" s="14">
        <f t="shared" si="2"/>
        <v>3906.601678477411</v>
      </c>
      <c r="H18" s="10">
        <f t="shared" si="3"/>
        <v>0.53078827153225694</v>
      </c>
      <c r="J18" s="32"/>
    </row>
    <row r="19" spans="2:10" x14ac:dyDescent="0.45">
      <c r="B19" s="20" t="str">
        <f>+'County Data'!$B$18</f>
        <v>Deschutes</v>
      </c>
      <c r="C19" s="15">
        <f>VLOOKUP($B19,'County Data'!$B$10:$L$46,2,FALSE)</f>
        <v>193000</v>
      </c>
      <c r="D19" s="29">
        <f>VLOOKUP($B19,'County Data'!$B$10:$L$46,10,FALSE)</f>
        <v>2.1095839220861116E-2</v>
      </c>
      <c r="E19" s="31">
        <f t="shared" si="0"/>
        <v>4071.4969696261956</v>
      </c>
      <c r="F19" s="6">
        <f t="shared" si="1"/>
        <v>1.6400932350902987E-2</v>
      </c>
      <c r="G19" s="14">
        <f t="shared" si="2"/>
        <v>142466.54869781542</v>
      </c>
      <c r="H19" s="10">
        <f t="shared" si="3"/>
        <v>0.73816864610267063</v>
      </c>
      <c r="J19" s="32"/>
    </row>
    <row r="20" spans="2:10" x14ac:dyDescent="0.45">
      <c r="B20" s="20" t="str">
        <f>+'County Data'!$B$31</f>
        <v>Linn</v>
      </c>
      <c r="C20" s="15">
        <f>VLOOKUP($B20,'County Data'!$B$10:$L$46,2,FALSE)</f>
        <v>126550</v>
      </c>
      <c r="D20" s="29">
        <f>VLOOKUP($B20,'County Data'!$B$10:$L$46,10,FALSE)</f>
        <v>2.4106299860542066E-2</v>
      </c>
      <c r="E20" s="31">
        <f t="shared" si="0"/>
        <v>3050.6522473515984</v>
      </c>
      <c r="F20" s="6">
        <f t="shared" si="1"/>
        <v>1.2288733482598494E-2</v>
      </c>
      <c r="G20" s="14">
        <f t="shared" si="2"/>
        <v>106745.97087992397</v>
      </c>
      <c r="H20" s="10">
        <f t="shared" si="3"/>
        <v>0.84350826455886185</v>
      </c>
      <c r="J20" s="32"/>
    </row>
    <row r="21" spans="2:10" x14ac:dyDescent="0.45">
      <c r="B21" s="20" t="str">
        <f>+'County Data'!$B$39</f>
        <v>Tillamook</v>
      </c>
      <c r="C21" s="15">
        <f>VLOOKUP($B21,'County Data'!$B$10:$L$46,2,FALSE)</f>
        <v>26500</v>
      </c>
      <c r="D21" s="29">
        <f>VLOOKUP($B21,'County Data'!$B$10:$L$46,10,FALSE)</f>
        <v>3.1383278345537939E-2</v>
      </c>
      <c r="E21" s="31">
        <f t="shared" si="0"/>
        <v>831.6568761567554</v>
      </c>
      <c r="F21" s="6">
        <f t="shared" si="1"/>
        <v>3.350106426890583E-3</v>
      </c>
      <c r="G21" s="14">
        <f t="shared" si="2"/>
        <v>29100.668803331428</v>
      </c>
      <c r="H21" s="10">
        <f t="shared" si="3"/>
        <v>1.0981384454087331</v>
      </c>
      <c r="J21" s="32"/>
    </row>
    <row r="22" spans="2:10" x14ac:dyDescent="0.45">
      <c r="B22" s="20" t="str">
        <f>+'County Data'!$B$28</f>
        <v>Lake</v>
      </c>
      <c r="C22" s="15">
        <f>VLOOKUP($B22,'County Data'!$B$10:$L$46,2,FALSE)</f>
        <v>8080</v>
      </c>
      <c r="D22" s="29">
        <f>VLOOKUP($B22,'County Data'!$B$10:$L$46,10,FALSE)</f>
        <v>1.7890772128060263E-2</v>
      </c>
      <c r="E22" s="31">
        <f t="shared" si="0"/>
        <v>144.55743879472692</v>
      </c>
      <c r="F22" s="6">
        <f t="shared" si="1"/>
        <v>5.823108287146253E-4</v>
      </c>
      <c r="G22" s="14">
        <f t="shared" si="2"/>
        <v>5058.2376819431183</v>
      </c>
      <c r="H22" s="10">
        <f t="shared" si="3"/>
        <v>0.62601951509197007</v>
      </c>
      <c r="J22" s="32"/>
    </row>
    <row r="23" spans="2:10" x14ac:dyDescent="0.45">
      <c r="B23" s="20" t="str">
        <f>+'County Data'!$B$29</f>
        <v>Lane</v>
      </c>
      <c r="C23" s="15">
        <f>VLOOKUP($B23,'County Data'!$B$10:$L$46,2,FALSE)</f>
        <v>378880</v>
      </c>
      <c r="D23" s="29">
        <f>VLOOKUP($B23,'County Data'!$B$10:$L$46,10,FALSE)</f>
        <v>2.5791358183192822E-2</v>
      </c>
      <c r="E23" s="31">
        <f t="shared" si="0"/>
        <v>9771.8297884480962</v>
      </c>
      <c r="F23" s="6">
        <f t="shared" si="1"/>
        <v>3.9363192580145777E-2</v>
      </c>
      <c r="G23" s="14">
        <f t="shared" si="2"/>
        <v>341928.01193476474</v>
      </c>
      <c r="H23" s="10">
        <f t="shared" si="3"/>
        <v>0.9024704706893073</v>
      </c>
      <c r="J23" s="32"/>
    </row>
    <row r="24" spans="2:10" x14ac:dyDescent="0.45">
      <c r="B24" s="20" t="str">
        <f>+'County Data'!$B$13</f>
        <v>Clatsop</v>
      </c>
      <c r="C24" s="15">
        <f>VLOOKUP($B24,'County Data'!$B$10:$L$46,2,FALSE)</f>
        <v>39330</v>
      </c>
      <c r="D24" s="29">
        <f>VLOOKUP($B24,'County Data'!$B$10:$L$46,10,FALSE)</f>
        <v>3.0615877536489856E-2</v>
      </c>
      <c r="E24" s="31">
        <f t="shared" si="0"/>
        <v>1204.122463510146</v>
      </c>
      <c r="F24" s="6">
        <f t="shared" si="1"/>
        <v>4.8504840390549741E-3</v>
      </c>
      <c r="G24" s="14">
        <f t="shared" si="2"/>
        <v>42133.685193814956</v>
      </c>
      <c r="H24" s="10">
        <f t="shared" si="3"/>
        <v>1.0712861732472656</v>
      </c>
      <c r="J24" s="32"/>
    </row>
    <row r="25" spans="2:10" x14ac:dyDescent="0.45">
      <c r="B25" s="20" t="str">
        <f>+'County Data'!$B$27</f>
        <v>Klamath</v>
      </c>
      <c r="C25" s="15">
        <f>VLOOKUP($B25,'County Data'!$B$10:$L$46,2,FALSE)</f>
        <v>68190</v>
      </c>
      <c r="D25" s="29">
        <f>VLOOKUP($B25,'County Data'!$B$10:$L$46,10,FALSE)</f>
        <v>3.3411008437123343E-2</v>
      </c>
      <c r="E25" s="31">
        <f t="shared" si="0"/>
        <v>2278.2966653274407</v>
      </c>
      <c r="F25" s="6">
        <f t="shared" si="1"/>
        <v>9.1775063968066312E-3</v>
      </c>
      <c r="G25" s="14">
        <f t="shared" si="2"/>
        <v>79720.32528584743</v>
      </c>
      <c r="H25" s="10">
        <f t="shared" si="3"/>
        <v>1.1690911465881717</v>
      </c>
      <c r="J25" s="32"/>
    </row>
    <row r="26" spans="2:10" x14ac:dyDescent="0.45">
      <c r="B26" s="20" t="str">
        <f>+'County Data'!$B$30</f>
        <v>Lincoln</v>
      </c>
      <c r="C26" s="15">
        <f>VLOOKUP($B26,'County Data'!$B$10:$L$46,2,FALSE)</f>
        <v>48260</v>
      </c>
      <c r="D26" s="29">
        <f>VLOOKUP($B26,'County Data'!$B$10:$L$46,10,FALSE)</f>
        <v>1.9758771929824562E-2</v>
      </c>
      <c r="E26" s="31">
        <f t="shared" si="0"/>
        <v>953.55833333333339</v>
      </c>
      <c r="F26" s="6">
        <f t="shared" si="1"/>
        <v>3.8411537167558408E-3</v>
      </c>
      <c r="G26" s="14">
        <f t="shared" si="2"/>
        <v>33366.146590676079</v>
      </c>
      <c r="H26" s="10">
        <f t="shared" si="3"/>
        <v>0.6913830623845022</v>
      </c>
      <c r="J26" s="32"/>
    </row>
    <row r="27" spans="2:10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Data'!$B$10:$L$46,10,FALSE)</f>
        <v>3.5138513530205188E-2</v>
      </c>
      <c r="E27" s="31">
        <f t="shared" si="0"/>
        <v>7775.8016590991065</v>
      </c>
      <c r="F27" s="6">
        <f t="shared" si="1"/>
        <v>3.1322729191821615E-2</v>
      </c>
      <c r="G27" s="14">
        <f t="shared" si="2"/>
        <v>272084.60033123969</v>
      </c>
      <c r="H27" s="10">
        <f t="shared" si="3"/>
        <v>1.2295386159846342</v>
      </c>
      <c r="J27" s="32"/>
    </row>
    <row r="28" spans="2:10" x14ac:dyDescent="0.45">
      <c r="B28" s="20" t="str">
        <f>+'County Data'!$B$11</f>
        <v>Benton</v>
      </c>
      <c r="C28" s="15">
        <f>VLOOKUP($B28,'County Data'!$B$10:$L$46,2,FALSE)</f>
        <v>94360</v>
      </c>
      <c r="D28" s="29">
        <f>VLOOKUP($B28,'County Data'!$B$10:$L$46,10,FALSE)</f>
        <v>4.7645036926935759E-2</v>
      </c>
      <c r="E28" s="31">
        <f t="shared" si="0"/>
        <v>4495.7856844256585</v>
      </c>
      <c r="F28" s="6">
        <f t="shared" si="1"/>
        <v>1.8110065517546715E-2</v>
      </c>
      <c r="G28" s="14">
        <f t="shared" si="2"/>
        <v>157312.91830090046</v>
      </c>
      <c r="H28" s="10">
        <f t="shared" si="3"/>
        <v>1.667156828114672</v>
      </c>
      <c r="J28" s="32"/>
    </row>
    <row r="29" spans="2:10" x14ac:dyDescent="0.45">
      <c r="B29" s="20" t="str">
        <f>+'County Data'!$B$12</f>
        <v>Clackamas</v>
      </c>
      <c r="C29" s="15">
        <f>VLOOKUP($B29,'County Data'!$B$10:$L$46,2,FALSE)</f>
        <v>423420</v>
      </c>
      <c r="D29" s="29">
        <f>VLOOKUP($B29,'County Data'!$B$10:$L$46,10,FALSE)</f>
        <v>4.0874504898895145E-2</v>
      </c>
      <c r="E29" s="31">
        <f t="shared" si="0"/>
        <v>17307.082864290183</v>
      </c>
      <c r="F29" s="6">
        <f t="shared" si="1"/>
        <v>6.9716936391274326E-2</v>
      </c>
      <c r="G29" s="14">
        <f t="shared" si="2"/>
        <v>605595.52962872502</v>
      </c>
      <c r="H29" s="10">
        <f t="shared" si="3"/>
        <v>1.4302478145310213</v>
      </c>
      <c r="J29" s="32"/>
    </row>
    <row r="30" spans="2:10" x14ac:dyDescent="0.45">
      <c r="B30" s="20" t="str">
        <f>+'County Data'!$B$37</f>
        <v>Polk</v>
      </c>
      <c r="C30" s="15">
        <f>VLOOKUP($B30,'County Data'!$B$10:$L$46,2,FALSE)</f>
        <v>82940</v>
      </c>
      <c r="D30" s="29">
        <f>VLOOKUP($B30,'County Data'!$B$10:$L$46,10,FALSE)</f>
        <v>5.112740819862184E-2</v>
      </c>
      <c r="E30" s="31">
        <f t="shared" si="0"/>
        <v>4240.5072359936958</v>
      </c>
      <c r="F30" s="6">
        <f t="shared" si="1"/>
        <v>1.7081744829944564E-2</v>
      </c>
      <c r="G30" s="14">
        <f t="shared" si="2"/>
        <v>148380.42006343429</v>
      </c>
      <c r="H30" s="10">
        <f t="shared" si="3"/>
        <v>1.789009164015364</v>
      </c>
      <c r="J30" s="32"/>
    </row>
    <row r="31" spans="2:10" x14ac:dyDescent="0.45">
      <c r="B31" s="20" t="str">
        <f>+'County Data'!$B$25</f>
        <v>Jefferson</v>
      </c>
      <c r="C31" s="15">
        <f>VLOOKUP($B31,'County Data'!$B$10:$L$46,2,FALSE)</f>
        <v>23840</v>
      </c>
      <c r="D31" s="29">
        <f>VLOOKUP($B31,'County Data'!$B$10:$L$46,10,FALSE)</f>
        <v>4.9472082622527551E-2</v>
      </c>
      <c r="E31" s="31">
        <f t="shared" si="0"/>
        <v>1179.4144497210568</v>
      </c>
      <c r="F31" s="6">
        <f t="shared" si="1"/>
        <v>4.7509544395727393E-3</v>
      </c>
      <c r="G31" s="14">
        <f t="shared" si="2"/>
        <v>41269.122239213837</v>
      </c>
      <c r="H31" s="10">
        <f t="shared" si="3"/>
        <v>1.7310873422489026</v>
      </c>
      <c r="J31" s="32"/>
    </row>
    <row r="32" spans="2:10" x14ac:dyDescent="0.45">
      <c r="B32" s="20" t="str">
        <f>+'County Data'!$B$46</f>
        <v>Yamhill</v>
      </c>
      <c r="C32" s="15">
        <f>VLOOKUP($B32,'County Data'!$B$10:$L$46,2,FALSE)</f>
        <v>108060</v>
      </c>
      <c r="D32" s="29">
        <f>VLOOKUP($B32,'County Data'!$B$10:$L$46,10,FALSE)</f>
        <v>5.2806933273375781E-2</v>
      </c>
      <c r="E32" s="31">
        <f t="shared" si="0"/>
        <v>5706.3172095209866</v>
      </c>
      <c r="F32" s="6">
        <f t="shared" si="1"/>
        <v>2.2986366740373534E-2</v>
      </c>
      <c r="G32" s="14">
        <f t="shared" si="2"/>
        <v>199670.86422516528</v>
      </c>
      <c r="H32" s="10">
        <f t="shared" si="3"/>
        <v>1.8477777551838357</v>
      </c>
      <c r="J32" s="32"/>
    </row>
    <row r="33" spans="2:10" x14ac:dyDescent="0.45">
      <c r="B33" s="20" t="str">
        <f>+'County Data'!$B$36</f>
        <v>Gilliam, Sherman, Wasco</v>
      </c>
      <c r="C33" s="15">
        <f>VLOOKUP($B33,'County Data'!$B$10:$L$46,2,FALSE)</f>
        <v>31000</v>
      </c>
      <c r="D33" s="29">
        <f>VLOOKUP($B33,'County Data'!$B$10:$L$46,10,FALSE)</f>
        <v>5.4470336679592647E-2</v>
      </c>
      <c r="E33" s="31">
        <f t="shared" si="0"/>
        <v>1688.580437067372</v>
      </c>
      <c r="F33" s="6">
        <f t="shared" si="1"/>
        <v>6.8019929092426133E-3</v>
      </c>
      <c r="G33" s="14">
        <f t="shared" si="2"/>
        <v>59085.449126522042</v>
      </c>
      <c r="H33" s="10">
        <f t="shared" si="3"/>
        <v>1.9059822298878077</v>
      </c>
      <c r="J33" s="32"/>
    </row>
    <row r="34" spans="2:10" x14ac:dyDescent="0.45">
      <c r="B34" s="20" t="str">
        <f>+'County Data'!$B$35</f>
        <v>Multnomah</v>
      </c>
      <c r="C34" s="15">
        <f>VLOOKUP($B34,'County Data'!$B$10:$L$46,2,FALSE)</f>
        <v>821730</v>
      </c>
      <c r="D34" s="29">
        <f>VLOOKUP($B34,'County Data'!$B$10:$L$46,10,FALSE)</f>
        <v>8.4254448034793039E-2</v>
      </c>
      <c r="E34" s="31">
        <f t="shared" si="0"/>
        <v>69234.407583630484</v>
      </c>
      <c r="F34" s="6">
        <f t="shared" si="1"/>
        <v>0.27889222160914923</v>
      </c>
      <c r="G34" s="14">
        <f t="shared" si="2"/>
        <v>2422594.7294474524</v>
      </c>
      <c r="H34" s="10">
        <f t="shared" si="3"/>
        <v>2.9481639096144141</v>
      </c>
      <c r="J34" s="32"/>
    </row>
    <row r="35" spans="2:10" x14ac:dyDescent="0.45">
      <c r="B35" s="20" t="str">
        <f>+'County Data'!$B$32</f>
        <v>Malheur</v>
      </c>
      <c r="C35" s="15">
        <f>VLOOKUP($B35,'County Data'!$B$10:$L$46,2,FALSE)</f>
        <v>32030</v>
      </c>
      <c r="D35" s="29">
        <f>VLOOKUP($B35,'County Data'!$B$10:$L$46,10,FALSE)</f>
        <v>7.8250132298465336E-2</v>
      </c>
      <c r="E35" s="31">
        <f t="shared" si="0"/>
        <v>2506.3517375198448</v>
      </c>
      <c r="F35" s="6">
        <f t="shared" si="1"/>
        <v>1.009616502266613E-2</v>
      </c>
      <c r="G35" s="14">
        <f t="shared" si="2"/>
        <v>87700.245028061036</v>
      </c>
      <c r="H35" s="10">
        <f t="shared" si="3"/>
        <v>2.7380657205139256</v>
      </c>
      <c r="J35" s="32"/>
    </row>
    <row r="36" spans="2:10" x14ac:dyDescent="0.45">
      <c r="B36" s="20" t="str">
        <f>+'County Data'!$B$44</f>
        <v>Washington</v>
      </c>
      <c r="C36" s="15">
        <f>VLOOKUP($B36,'County Data'!$B$10:$L$46,2,FALSE)</f>
        <v>613410</v>
      </c>
      <c r="D36" s="29">
        <f>VLOOKUP($B36,'County Data'!$B$10:$L$46,10,FALSE)</f>
        <v>9.0625859571268771E-2</v>
      </c>
      <c r="E36" s="31">
        <f t="shared" si="0"/>
        <v>55590.808519611979</v>
      </c>
      <c r="F36" s="6">
        <f t="shared" si="1"/>
        <v>0.22393264606699795</v>
      </c>
      <c r="G36" s="14">
        <f t="shared" si="2"/>
        <v>1945188.8797150091</v>
      </c>
      <c r="H36" s="10">
        <f t="shared" si="3"/>
        <v>3.1711072198285146</v>
      </c>
      <c r="J36" s="32"/>
    </row>
    <row r="37" spans="2:10" x14ac:dyDescent="0.45">
      <c r="B37" s="20" t="str">
        <f>+'County Data'!$B$40</f>
        <v>Umatilla</v>
      </c>
      <c r="C37" s="15">
        <f>VLOOKUP($B37,'County Data'!$B$10:$L$46,2,FALSE)</f>
        <v>81160</v>
      </c>
      <c r="D37" s="29">
        <f>VLOOKUP($B37,'County Data'!$B$10:$L$46,10,FALSE)</f>
        <v>0.10513829579390996</v>
      </c>
      <c r="E37" s="31">
        <f t="shared" si="0"/>
        <v>8533.0240866337317</v>
      </c>
      <c r="F37" s="6">
        <f t="shared" si="1"/>
        <v>3.4372996427983186E-2</v>
      </c>
      <c r="G37" s="14">
        <f t="shared" si="2"/>
        <v>298580.71874965623</v>
      </c>
      <c r="H37" s="10">
        <f t="shared" si="3"/>
        <v>3.6789147209174007</v>
      </c>
      <c r="J37" s="32"/>
    </row>
    <row r="38" spans="2:10" x14ac:dyDescent="0.45">
      <c r="B38" s="20" t="str">
        <f>+'County Data'!$B$33</f>
        <v>Marion</v>
      </c>
      <c r="C38" s="15">
        <f>VLOOKUP($B38,'County Data'!$B$10:$L$46,2,FALSE)</f>
        <v>347760</v>
      </c>
      <c r="D38" s="29">
        <f>VLOOKUP($B38,'County Data'!$B$10:$L$46,10,FALSE)</f>
        <v>0.10408129343246751</v>
      </c>
      <c r="E38" s="31">
        <f t="shared" si="0"/>
        <v>36195.310604074904</v>
      </c>
      <c r="F38" s="6">
        <f t="shared" si="1"/>
        <v>0.14580309037829295</v>
      </c>
      <c r="G38" s="14">
        <f t="shared" si="2"/>
        <v>1266517.2095857959</v>
      </c>
      <c r="H38" s="10">
        <f t="shared" si="3"/>
        <v>3.6419289440585341</v>
      </c>
      <c r="J38" s="32"/>
    </row>
    <row r="39" spans="2:10" x14ac:dyDescent="0.45">
      <c r="B39" s="20" t="str">
        <f>+'County Data'!$B$23</f>
        <v>Hood River</v>
      </c>
      <c r="C39" s="15">
        <f>VLOOKUP($B39,'County Data'!$B$10:$L$46,2,FALSE)</f>
        <v>25480</v>
      </c>
      <c r="D39" s="29">
        <f>VLOOKUP($B39,'County Data'!$B$10:$L$46,10,FALSE)</f>
        <v>0.15446440944154463</v>
      </c>
      <c r="E39" s="31">
        <f t="shared" si="0"/>
        <v>3935.7531525705572</v>
      </c>
      <c r="F39" s="6">
        <f t="shared" si="1"/>
        <v>1.5854124830919185E-2</v>
      </c>
      <c r="G39" s="14">
        <f t="shared" si="2"/>
        <v>137716.71018209137</v>
      </c>
      <c r="H39" s="10">
        <f t="shared" si="3"/>
        <v>5.4048944341480132</v>
      </c>
      <c r="J39" s="32"/>
    </row>
    <row r="40" spans="2:10" x14ac:dyDescent="0.45">
      <c r="B40" s="20" t="str">
        <f>+'County Data'!$B$34</f>
        <v>Morrow</v>
      </c>
      <c r="C40" s="15">
        <f>VLOOKUP($B40,'County Data'!$B$10:$L$46,2,FALSE)</f>
        <v>12680</v>
      </c>
      <c r="D40" s="29">
        <f>VLOOKUP($B40,'County Data'!$B$10:$L$46,10,FALSE)</f>
        <v>0.15267839876232836</v>
      </c>
      <c r="E40" s="31">
        <f t="shared" si="0"/>
        <v>1935.9620963063237</v>
      </c>
      <c r="F40" s="6">
        <f t="shared" si="1"/>
        <v>7.7985035018575651E-3</v>
      </c>
      <c r="G40" s="14">
        <f t="shared" si="2"/>
        <v>67741.629265137788</v>
      </c>
      <c r="H40" s="10">
        <f t="shared" si="3"/>
        <v>5.3423997843168607</v>
      </c>
      <c r="J40" s="32"/>
    </row>
    <row r="41" spans="2:10" x14ac:dyDescent="0.45">
      <c r="B41" s="4" t="s">
        <v>2</v>
      </c>
      <c r="C41" s="5">
        <f>SUM(C7:C40)</f>
        <v>4236400</v>
      </c>
      <c r="D41" s="5"/>
      <c r="E41" s="5">
        <f>SUM(E7:E40)</f>
        <v>248247.89728506078</v>
      </c>
      <c r="F41" s="33">
        <f>SUM(F7:F40)</f>
        <v>0.99999999999999978</v>
      </c>
      <c r="G41" s="11">
        <f>SUM(G7:G40)</f>
        <v>8686490.8439166639</v>
      </c>
      <c r="H41" s="12">
        <f t="shared" ref="H41" si="4">G41/C41</f>
        <v>2.0504416117261504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5" width="12.59765625" bestFit="1" customWidth="1"/>
    <col min="7" max="7" width="14.1328125" customWidth="1"/>
    <col min="8" max="8" width="10.59765625" bestFit="1" customWidth="1"/>
    <col min="9" max="9" width="9.73046875" bestFit="1" customWidth="1"/>
    <col min="10" max="11" width="10.73046875" bestFit="1" customWidth="1"/>
    <col min="12" max="12" width="11.59765625" customWidth="1"/>
    <col min="14" max="14" width="11.59765625" bestFit="1" customWidth="1"/>
  </cols>
  <sheetData>
    <row r="3" spans="2:14" x14ac:dyDescent="0.45">
      <c r="B3" t="s">
        <v>0</v>
      </c>
      <c r="C3" s="1">
        <f>'County Data'!C5</f>
        <v>63910417</v>
      </c>
    </row>
    <row r="4" spans="2:14" x14ac:dyDescent="0.45">
      <c r="B4" t="s">
        <v>41</v>
      </c>
      <c r="C4" s="14">
        <f>'County Data'!L9</f>
        <v>0</v>
      </c>
    </row>
    <row r="6" spans="2:14" s="2" customFormat="1" ht="28.5" x14ac:dyDescent="0.4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4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4">
        <f>IF(F7&lt;0,0,$C$4*Input!$C$26/36)</f>
        <v>0</v>
      </c>
      <c r="H7" s="31">
        <f>IF(F7&lt;0,0,C7*F7)</f>
        <v>0</v>
      </c>
      <c r="I7" s="38">
        <f>H7/$H$41</f>
        <v>0</v>
      </c>
      <c r="J7" s="74">
        <f>($C$4-$G$41)*I7</f>
        <v>0</v>
      </c>
      <c r="K7" s="76">
        <f>G7+J7</f>
        <v>0</v>
      </c>
      <c r="L7" s="46">
        <f>K7/C7</f>
        <v>0</v>
      </c>
      <c r="N7" s="157"/>
    </row>
    <row r="8" spans="2:14" x14ac:dyDescent="0.45">
      <c r="B8" s="20" t="str">
        <f>+'County Data'!$B$42</f>
        <v>Wallowa</v>
      </c>
      <c r="C8" s="15">
        <f>VLOOKUP($B8,'County Data'!$B$10:$P$46,2,FALSE)</f>
        <v>7150</v>
      </c>
      <c r="D8" s="86">
        <v>0</v>
      </c>
      <c r="E8" s="47">
        <f>VLOOKUP($B8,'County Data'!$B$10:$P$46,11,FALSE)</f>
        <v>0</v>
      </c>
      <c r="F8" s="29">
        <f>IFERROR((E8-D8)/D8,-1)</f>
        <v>-1</v>
      </c>
      <c r="G8" s="74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4">
        <f t="shared" ref="J8:J40" si="2">($C$4-$G$41)*I8</f>
        <v>0</v>
      </c>
      <c r="K8" s="76">
        <f t="shared" ref="K8:K40" si="3">G8+J8</f>
        <v>0</v>
      </c>
      <c r="L8" s="46">
        <f t="shared" ref="L8:L40" si="4">K8/C8</f>
        <v>0</v>
      </c>
      <c r="N8" s="157"/>
    </row>
    <row r="9" spans="2:14" x14ac:dyDescent="0.45">
      <c r="B9" s="20" t="str">
        <f>+'County Data'!$B$22</f>
        <v>Harney</v>
      </c>
      <c r="C9" s="15">
        <f>VLOOKUP($B9,'County Data'!$B$10:$P$46,2,FALSE)</f>
        <v>7360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4">
        <f>IF(F9&lt;0,0,$C$4*Input!$C$26/36)</f>
        <v>0</v>
      </c>
      <c r="H9" s="31">
        <f>IF(F9&lt;0,0,C9*F9)</f>
        <v>5717.679676540969</v>
      </c>
      <c r="I9" s="38">
        <f t="shared" si="1"/>
        <v>1.4315042428198217E-3</v>
      </c>
      <c r="J9" s="74">
        <f t="shared" si="2"/>
        <v>0</v>
      </c>
      <c r="K9" s="76">
        <f t="shared" si="3"/>
        <v>0</v>
      </c>
      <c r="L9" s="46">
        <f t="shared" si="4"/>
        <v>0</v>
      </c>
      <c r="N9" s="6"/>
    </row>
    <row r="10" spans="2:14" x14ac:dyDescent="0.45">
      <c r="B10" s="20" t="str">
        <f>+'County Data'!$B$21</f>
        <v>Grant</v>
      </c>
      <c r="C10" s="15">
        <f>VLOOKUP($B10,'County Data'!$B$10:$P$46,2,FALSE)</f>
        <v>7360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4">
        <f>IF(F10&lt;0,0,$C$4*Input!$C$26/36)</f>
        <v>0</v>
      </c>
      <c r="H10" s="31">
        <f t="shared" si="0"/>
        <v>0</v>
      </c>
      <c r="I10" s="38">
        <f t="shared" si="1"/>
        <v>0</v>
      </c>
      <c r="J10" s="74">
        <f t="shared" si="2"/>
        <v>0</v>
      </c>
      <c r="K10" s="76">
        <f t="shared" si="3"/>
        <v>0</v>
      </c>
      <c r="L10" s="46">
        <f t="shared" si="4"/>
        <v>0</v>
      </c>
      <c r="N10" s="157"/>
    </row>
    <row r="11" spans="2:14" x14ac:dyDescent="0.45">
      <c r="B11" s="20" t="str">
        <f>+'County Data'!$B$28</f>
        <v>Lake</v>
      </c>
      <c r="C11" s="15">
        <f>VLOOKUP($B11,'County Data'!$B$10:$P$46,2,FALSE)</f>
        <v>8080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4">
        <f>IF(F11&lt;0,0,$C$4*Input!$C$26/36)</f>
        <v>0</v>
      </c>
      <c r="H11" s="31">
        <f t="shared" si="0"/>
        <v>1955.540864828416</v>
      </c>
      <c r="I11" s="38">
        <f t="shared" si="1"/>
        <v>4.8959808932545095E-4</v>
      </c>
      <c r="J11" s="74">
        <f t="shared" si="2"/>
        <v>0</v>
      </c>
      <c r="K11" s="76">
        <f t="shared" si="3"/>
        <v>0</v>
      </c>
      <c r="L11" s="46">
        <f t="shared" si="4"/>
        <v>0</v>
      </c>
      <c r="N11" s="6"/>
    </row>
    <row r="12" spans="2:14" x14ac:dyDescent="0.45">
      <c r="B12" s="20" t="str">
        <f>+'County Data'!$B$34</f>
        <v>Morrow</v>
      </c>
      <c r="C12" s="15">
        <f>VLOOKUP($B12,'County Data'!$B$10:$P$46,2,FALSE)</f>
        <v>12680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4">
        <f>IF(F12&lt;0,0,$C$4*Input!$C$26/36)</f>
        <v>0</v>
      </c>
      <c r="H12" s="31">
        <f t="shared" si="0"/>
        <v>1863.8033449508748</v>
      </c>
      <c r="I12" s="38">
        <f t="shared" si="1"/>
        <v>4.6663026734877202E-4</v>
      </c>
      <c r="J12" s="74">
        <f t="shared" si="2"/>
        <v>0</v>
      </c>
      <c r="K12" s="76">
        <f t="shared" si="3"/>
        <v>0</v>
      </c>
      <c r="L12" s="46">
        <f t="shared" si="4"/>
        <v>0</v>
      </c>
      <c r="N12" s="6"/>
    </row>
    <row r="13" spans="2:14" x14ac:dyDescent="0.45">
      <c r="B13" s="20" t="str">
        <f>+'County Data'!$B$10</f>
        <v>Baker</v>
      </c>
      <c r="C13" s="15">
        <f>VLOOKUP($B13,'County Data'!$B$10:$P$46,2,FALSE)</f>
        <v>16820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4">
        <f>IF(F13&lt;0,0,$C$4*Input!$C$26/36)</f>
        <v>0</v>
      </c>
      <c r="H13" s="31">
        <f t="shared" si="0"/>
        <v>7847.460474468533</v>
      </c>
      <c r="I13" s="38">
        <f t="shared" si="1"/>
        <v>1.9647258328676785E-3</v>
      </c>
      <c r="J13" s="74">
        <f t="shared" si="2"/>
        <v>0</v>
      </c>
      <c r="K13" s="76">
        <f t="shared" si="3"/>
        <v>0</v>
      </c>
      <c r="L13" s="46">
        <f t="shared" si="4"/>
        <v>0</v>
      </c>
      <c r="N13" s="6"/>
    </row>
    <row r="14" spans="2:14" x14ac:dyDescent="0.4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4">
        <f>IF(F14&lt;0,0,$C$4*Input!$C$26/36)</f>
        <v>0</v>
      </c>
      <c r="H14" s="31">
        <f t="shared" si="0"/>
        <v>36265.446403456466</v>
      </c>
      <c r="I14" s="38">
        <f t="shared" si="1"/>
        <v>9.0795818113597656E-3</v>
      </c>
      <c r="J14" s="74">
        <f t="shared" si="2"/>
        <v>0</v>
      </c>
      <c r="K14" s="76">
        <f t="shared" si="3"/>
        <v>0</v>
      </c>
      <c r="L14" s="46">
        <f t="shared" si="4"/>
        <v>0</v>
      </c>
      <c r="N14" s="6"/>
    </row>
    <row r="15" spans="2:14" x14ac:dyDescent="0.45">
      <c r="B15" s="20" t="str">
        <f>+'County Data'!$B$17</f>
        <v>Curry</v>
      </c>
      <c r="C15" s="15">
        <f>VLOOKUP($B15,'County Data'!$B$10:$P$46,2,FALSE)</f>
        <v>23000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4">
        <f>IF(F15&lt;0,0,$C$4*Input!$C$26/36)</f>
        <v>0</v>
      </c>
      <c r="H15" s="31">
        <f t="shared" si="0"/>
        <v>88807.686729514142</v>
      </c>
      <c r="I15" s="38">
        <f t="shared" si="1"/>
        <v>2.2234295647919573E-2</v>
      </c>
      <c r="J15" s="74">
        <f t="shared" si="2"/>
        <v>0</v>
      </c>
      <c r="K15" s="76">
        <f t="shared" si="3"/>
        <v>0</v>
      </c>
      <c r="L15" s="46">
        <f t="shared" si="4"/>
        <v>0</v>
      </c>
      <c r="N15" s="6"/>
    </row>
    <row r="16" spans="2:14" x14ac:dyDescent="0.45">
      <c r="B16" s="20" t="str">
        <f>+'County Data'!$B$25</f>
        <v>Jefferson</v>
      </c>
      <c r="C16" s="15">
        <f>VLOOKUP($B16,'County Data'!$B$10:$P$46,2,FALSE)</f>
        <v>23840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4">
        <f>IF(F16&lt;0,0,$C$4*Input!$C$26/36)</f>
        <v>0</v>
      </c>
      <c r="H16" s="31">
        <f t="shared" si="0"/>
        <v>0</v>
      </c>
      <c r="I16" s="38">
        <f t="shared" si="1"/>
        <v>0</v>
      </c>
      <c r="J16" s="74">
        <f t="shared" si="2"/>
        <v>0</v>
      </c>
      <c r="K16" s="76">
        <f t="shared" si="3"/>
        <v>0</v>
      </c>
      <c r="L16" s="46">
        <f t="shared" si="4"/>
        <v>0</v>
      </c>
      <c r="N16" s="157"/>
    </row>
    <row r="17" spans="2:14" x14ac:dyDescent="0.45">
      <c r="B17" s="20" t="str">
        <f>+'County Data'!$B$23</f>
        <v>Hood River</v>
      </c>
      <c r="C17" s="15">
        <f>VLOOKUP($B17,'County Data'!$B$10:$P$46,2,FALSE)</f>
        <v>25480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4">
        <f>IF(F17&lt;0,0,$C$4*Input!$C$26/36)</f>
        <v>0</v>
      </c>
      <c r="H17" s="31">
        <f t="shared" si="0"/>
        <v>0</v>
      </c>
      <c r="I17" s="38">
        <f t="shared" si="1"/>
        <v>0</v>
      </c>
      <c r="J17" s="74">
        <f t="shared" si="2"/>
        <v>0</v>
      </c>
      <c r="K17" s="76">
        <f t="shared" si="3"/>
        <v>0</v>
      </c>
      <c r="L17" s="46">
        <f t="shared" si="4"/>
        <v>0</v>
      </c>
      <c r="N17" s="157"/>
    </row>
    <row r="18" spans="2:14" x14ac:dyDescent="0.45">
      <c r="B18" s="20" t="str">
        <f>+'County Data'!$B$39</f>
        <v>Tillamook</v>
      </c>
      <c r="C18" s="15">
        <f>VLOOKUP($B18,'County Data'!$B$10:$P$46,2,FALSE)</f>
        <v>26500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4">
        <f>IF(F18&lt;0,0,$C$4*Input!$C$26/36)</f>
        <v>0</v>
      </c>
      <c r="H18" s="31">
        <f t="shared" si="0"/>
        <v>0</v>
      </c>
      <c r="I18" s="38">
        <f t="shared" si="1"/>
        <v>0</v>
      </c>
      <c r="J18" s="74">
        <f t="shared" si="2"/>
        <v>0</v>
      </c>
      <c r="K18" s="76">
        <f t="shared" si="3"/>
        <v>0</v>
      </c>
      <c r="L18" s="46">
        <f t="shared" si="4"/>
        <v>0</v>
      </c>
      <c r="N18" s="157"/>
    </row>
    <row r="19" spans="2:14" x14ac:dyDescent="0.4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4">
        <f>IF(F19&lt;0,0,$C$4*Input!$C$26/36)</f>
        <v>0</v>
      </c>
      <c r="H19" s="31">
        <f t="shared" si="0"/>
        <v>1534.5075862068966</v>
      </c>
      <c r="I19" s="38">
        <f t="shared" si="1"/>
        <v>3.8418628614453755E-4</v>
      </c>
      <c r="J19" s="74">
        <f t="shared" si="2"/>
        <v>0</v>
      </c>
      <c r="K19" s="76">
        <f t="shared" si="3"/>
        <v>0</v>
      </c>
      <c r="L19" s="46">
        <f t="shared" si="4"/>
        <v>0</v>
      </c>
      <c r="N19" s="6"/>
    </row>
    <row r="20" spans="2:14" x14ac:dyDescent="0.45">
      <c r="B20" s="20" t="str">
        <f>+'County Data'!$B$36</f>
        <v>Gilliam, Sherman, Wasco</v>
      </c>
      <c r="C20" s="15">
        <f>VLOOKUP($B20,'County Data'!$B$10:$P$46,2,FALSE)</f>
        <v>31000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4">
        <f>IF(F20&lt;0,0,$C$4*Input!$C$26/36*3)</f>
        <v>0</v>
      </c>
      <c r="H20" s="31">
        <f t="shared" si="0"/>
        <v>12885.23448481883</v>
      </c>
      <c r="I20" s="38">
        <f t="shared" si="1"/>
        <v>3.2260058062408433E-3</v>
      </c>
      <c r="J20" s="74">
        <f t="shared" si="2"/>
        <v>0</v>
      </c>
      <c r="K20" s="76">
        <f t="shared" si="3"/>
        <v>0</v>
      </c>
      <c r="L20" s="46">
        <f t="shared" si="4"/>
        <v>0</v>
      </c>
      <c r="N20" s="6"/>
    </row>
    <row r="21" spans="2:14" x14ac:dyDescent="0.45">
      <c r="B21" s="20" t="str">
        <f>+'County Data'!$B$32</f>
        <v>Malheur</v>
      </c>
      <c r="C21" s="15">
        <f>VLOOKUP($B21,'County Data'!$B$10:$P$46,2,FALSE)</f>
        <v>32030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4">
        <f>IF(F21&lt;0,0,$C$4*Input!$C$26/36)</f>
        <v>0</v>
      </c>
      <c r="H21" s="31">
        <f t="shared" si="0"/>
        <v>0</v>
      </c>
      <c r="I21" s="38">
        <f t="shared" si="1"/>
        <v>0</v>
      </c>
      <c r="J21" s="74">
        <f t="shared" si="2"/>
        <v>0</v>
      </c>
      <c r="K21" s="76">
        <f t="shared" si="3"/>
        <v>0</v>
      </c>
      <c r="L21" s="46">
        <f t="shared" si="4"/>
        <v>0</v>
      </c>
      <c r="N21" s="157"/>
    </row>
    <row r="22" spans="2:14" x14ac:dyDescent="0.45">
      <c r="B22" s="20" t="str">
        <f>+'County Data'!$B$13</f>
        <v>Clatsop</v>
      </c>
      <c r="C22" s="15">
        <f>VLOOKUP($B22,'County Data'!$B$10:$P$46,2,FALSE)</f>
        <v>39330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4">
        <f>IF(F22&lt;0,0,$C$4*Input!$C$26/36)</f>
        <v>0</v>
      </c>
      <c r="H22" s="31">
        <f t="shared" si="0"/>
        <v>1361.7125790175724</v>
      </c>
      <c r="I22" s="38">
        <f t="shared" si="1"/>
        <v>3.4092454363306428E-4</v>
      </c>
      <c r="J22" s="74">
        <f t="shared" si="2"/>
        <v>0</v>
      </c>
      <c r="K22" s="76">
        <f t="shared" si="3"/>
        <v>0</v>
      </c>
      <c r="L22" s="46">
        <f t="shared" si="4"/>
        <v>0</v>
      </c>
      <c r="N22" s="6"/>
    </row>
    <row r="23" spans="2:14" x14ac:dyDescent="0.45">
      <c r="B23" s="20" t="str">
        <f>+'County Data'!$B$30</f>
        <v>Lincoln</v>
      </c>
      <c r="C23" s="15">
        <f>VLOOKUP($B23,'County Data'!$B$10:$P$46,2,FALSE)</f>
        <v>48260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4">
        <f>IF(F23&lt;0,0,$C$4*Input!$C$26/36)</f>
        <v>0</v>
      </c>
      <c r="H23" s="31">
        <f t="shared" si="0"/>
        <v>180637.1015284553</v>
      </c>
      <c r="I23" s="38">
        <f t="shared" si="1"/>
        <v>4.5225124854334921E-2</v>
      </c>
      <c r="J23" s="74">
        <f t="shared" si="2"/>
        <v>0</v>
      </c>
      <c r="K23" s="76">
        <f t="shared" si="3"/>
        <v>0</v>
      </c>
      <c r="L23" s="46">
        <f t="shared" si="4"/>
        <v>0</v>
      </c>
      <c r="N23" s="6"/>
    </row>
    <row r="24" spans="2:14" x14ac:dyDescent="0.45">
      <c r="B24" s="20" t="str">
        <f>+'County Data'!$B$14</f>
        <v>Columbia</v>
      </c>
      <c r="C24" s="15">
        <f>VLOOKUP($B24,'County Data'!$B$10:$P$46,2,FALSE)</f>
        <v>52750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4">
        <f>IF(F24&lt;0,0,$C$4*Input!$C$26/36)</f>
        <v>0</v>
      </c>
      <c r="H24" s="31">
        <f t="shared" si="0"/>
        <v>171893.75834838639</v>
      </c>
      <c r="I24" s="38">
        <f t="shared" si="1"/>
        <v>4.3036101759870438E-2</v>
      </c>
      <c r="J24" s="74">
        <f t="shared" si="2"/>
        <v>0</v>
      </c>
      <c r="K24" s="76">
        <f t="shared" si="3"/>
        <v>0</v>
      </c>
      <c r="L24" s="46">
        <f t="shared" si="4"/>
        <v>0</v>
      </c>
      <c r="N24" s="6"/>
    </row>
    <row r="25" spans="2:14" x14ac:dyDescent="0.45">
      <c r="B25" s="20" t="str">
        <f>+'County Data'!$B$15</f>
        <v>Coos</v>
      </c>
      <c r="C25" s="15">
        <f>VLOOKUP($B25,'County Data'!$B$10:$P$46,2,FALSE)</f>
        <v>63290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4">
        <f>IF(F25&lt;0,0,$C$4*Input!$C$26/36)</f>
        <v>0</v>
      </c>
      <c r="H25" s="31">
        <f t="shared" si="0"/>
        <v>340205.88658055116</v>
      </c>
      <c r="I25" s="38">
        <f t="shared" si="1"/>
        <v>8.5175490342782309E-2</v>
      </c>
      <c r="J25" s="74">
        <f t="shared" si="2"/>
        <v>0</v>
      </c>
      <c r="K25" s="76">
        <f t="shared" si="3"/>
        <v>0</v>
      </c>
      <c r="L25" s="46">
        <f t="shared" si="4"/>
        <v>0</v>
      </c>
      <c r="N25" s="6"/>
    </row>
    <row r="26" spans="2:14" x14ac:dyDescent="0.45">
      <c r="B26" s="20" t="str">
        <f>+'County Data'!$B$27</f>
        <v>Klamath</v>
      </c>
      <c r="C26" s="15">
        <f>VLOOKUP($B26,'County Data'!$B$10:$P$46,2,FALSE)</f>
        <v>68190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4">
        <f>IF(F26&lt;0,0,$C$4*Input!$C$26/36)</f>
        <v>0</v>
      </c>
      <c r="H26" s="31">
        <f t="shared" si="0"/>
        <v>91048.974255209221</v>
      </c>
      <c r="I26" s="38">
        <f t="shared" si="1"/>
        <v>2.2795434568586188E-2</v>
      </c>
      <c r="J26" s="74">
        <f t="shared" si="2"/>
        <v>0</v>
      </c>
      <c r="K26" s="76">
        <f t="shared" si="3"/>
        <v>0</v>
      </c>
      <c r="L26" s="46">
        <f t="shared" si="4"/>
        <v>0</v>
      </c>
      <c r="N26" s="6"/>
    </row>
    <row r="27" spans="2:14" x14ac:dyDescent="0.45">
      <c r="B27" s="20" t="str">
        <f>+'County Data'!$B$40</f>
        <v>Umatilla</v>
      </c>
      <c r="C27" s="15">
        <f>VLOOKUP($B27,'County Data'!$B$10:$P$46,2,FALSE)</f>
        <v>81160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4">
        <f>IF(F27&lt;0,0,$C$4*Input!$C$26/36)</f>
        <v>0</v>
      </c>
      <c r="H27" s="31">
        <f t="shared" si="0"/>
        <v>30683.925152351414</v>
      </c>
      <c r="I27" s="38">
        <f t="shared" si="1"/>
        <v>7.6821668101088418E-3</v>
      </c>
      <c r="J27" s="74">
        <f t="shared" si="2"/>
        <v>0</v>
      </c>
      <c r="K27" s="76">
        <f t="shared" si="3"/>
        <v>0</v>
      </c>
      <c r="L27" s="46">
        <f t="shared" si="4"/>
        <v>0</v>
      </c>
      <c r="N27" s="6"/>
    </row>
    <row r="28" spans="2:14" x14ac:dyDescent="0.45">
      <c r="B28" s="20" t="str">
        <f>+'County Data'!$B$37</f>
        <v>Polk</v>
      </c>
      <c r="C28" s="15">
        <f>VLOOKUP($B28,'County Data'!$B$10:$P$46,2,FALSE)</f>
        <v>82940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4">
        <f>IF(F28&lt;0,0,$C$4*Input!$C$26/36)</f>
        <v>0</v>
      </c>
      <c r="H28" s="31">
        <f t="shared" si="0"/>
        <v>12930.929738360894</v>
      </c>
      <c r="I28" s="38">
        <f t="shared" si="1"/>
        <v>3.237446277379962E-3</v>
      </c>
      <c r="J28" s="74">
        <f t="shared" si="2"/>
        <v>0</v>
      </c>
      <c r="K28" s="76">
        <f t="shared" si="3"/>
        <v>0</v>
      </c>
      <c r="L28" s="46">
        <f t="shared" si="4"/>
        <v>0</v>
      </c>
      <c r="N28" s="6"/>
    </row>
    <row r="29" spans="2:14" x14ac:dyDescent="0.45">
      <c r="B29" s="20" t="str">
        <f>+'County Data'!$B$26</f>
        <v>Josephine</v>
      </c>
      <c r="C29" s="15">
        <f>VLOOKUP($B29,'County Data'!$B$10:$P$46,2,FALSE)</f>
        <v>86750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4">
        <f>IF(F29&lt;0,0,$C$4*Input!$C$26/36)</f>
        <v>0</v>
      </c>
      <c r="H29" s="31">
        <f t="shared" si="0"/>
        <v>69759.401861727645</v>
      </c>
      <c r="I29" s="38">
        <f t="shared" si="1"/>
        <v>1.7465280566757637E-2</v>
      </c>
      <c r="J29" s="74">
        <f t="shared" si="2"/>
        <v>0</v>
      </c>
      <c r="K29" s="76">
        <f t="shared" si="3"/>
        <v>0</v>
      </c>
      <c r="L29" s="46">
        <f t="shared" si="4"/>
        <v>0</v>
      </c>
      <c r="N29" s="6"/>
    </row>
    <row r="30" spans="2:14" x14ac:dyDescent="0.45">
      <c r="B30" s="20" t="str">
        <f>+'County Data'!$B$11</f>
        <v>Benton</v>
      </c>
      <c r="C30" s="15">
        <f>VLOOKUP($B30,'County Data'!$B$10:$P$46,2,FALSE)</f>
        <v>94360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4">
        <f>IF(F30&lt;0,0,$C$4*Input!$C$26/36)</f>
        <v>0</v>
      </c>
      <c r="H30" s="31">
        <f t="shared" si="0"/>
        <v>0</v>
      </c>
      <c r="I30" s="38">
        <f t="shared" si="1"/>
        <v>0</v>
      </c>
      <c r="J30" s="74">
        <f t="shared" si="2"/>
        <v>0</v>
      </c>
      <c r="K30" s="76">
        <f t="shared" si="3"/>
        <v>0</v>
      </c>
      <c r="L30" s="46">
        <f t="shared" si="4"/>
        <v>0</v>
      </c>
      <c r="N30" s="157"/>
    </row>
    <row r="31" spans="2:14" x14ac:dyDescent="0.45">
      <c r="B31" s="20" t="str">
        <f>+'County Data'!$B$46</f>
        <v>Yamhill</v>
      </c>
      <c r="C31" s="15">
        <f>VLOOKUP($B31,'County Data'!$B$10:$P$46,2,FALSE)</f>
        <v>108060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4">
        <f>IF(F31&lt;0,0,$C$4*Input!$C$26/36)</f>
        <v>0</v>
      </c>
      <c r="H31" s="31">
        <f t="shared" si="0"/>
        <v>149846.6559310132</v>
      </c>
      <c r="I31" s="38">
        <f t="shared" si="1"/>
        <v>3.7516289101976658E-2</v>
      </c>
      <c r="J31" s="74">
        <f t="shared" si="2"/>
        <v>0</v>
      </c>
      <c r="K31" s="76">
        <f t="shared" si="3"/>
        <v>0</v>
      </c>
      <c r="L31" s="46">
        <f t="shared" si="4"/>
        <v>0</v>
      </c>
      <c r="N31" s="6"/>
    </row>
    <row r="32" spans="2:14" x14ac:dyDescent="0.45">
      <c r="B32" s="20" t="str">
        <f>+'County Data'!$B$19</f>
        <v>Douglas</v>
      </c>
      <c r="C32" s="15">
        <f>VLOOKUP($B32,'County Data'!$B$10:$P$46,2,FALSE)</f>
        <v>112250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4">
        <f>IF(F32&lt;0,0,$C$4*Input!$C$26/36)</f>
        <v>0</v>
      </c>
      <c r="H32" s="31">
        <f t="shared" si="0"/>
        <v>0</v>
      </c>
      <c r="I32" s="38">
        <f t="shared" si="1"/>
        <v>0</v>
      </c>
      <c r="J32" s="74">
        <f t="shared" si="2"/>
        <v>0</v>
      </c>
      <c r="K32" s="76">
        <f t="shared" si="3"/>
        <v>0</v>
      </c>
      <c r="L32" s="46">
        <f t="shared" si="4"/>
        <v>0</v>
      </c>
      <c r="N32" s="157"/>
    </row>
    <row r="33" spans="2:14" x14ac:dyDescent="0.45">
      <c r="B33" s="20" t="str">
        <f>+'County Data'!$B$31</f>
        <v>Linn</v>
      </c>
      <c r="C33" s="15">
        <f>VLOOKUP($B33,'County Data'!$B$10:$P$46,2,FALSE)</f>
        <v>126550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4">
        <f>IF(F33&lt;0,0,$C$4*Input!$C$26/36)</f>
        <v>0</v>
      </c>
      <c r="H33" s="31">
        <f t="shared" si="0"/>
        <v>131319.81895950847</v>
      </c>
      <c r="I33" s="38">
        <f t="shared" si="1"/>
        <v>3.2877826083568332E-2</v>
      </c>
      <c r="J33" s="74">
        <f t="shared" si="2"/>
        <v>0</v>
      </c>
      <c r="K33" s="76">
        <f t="shared" si="3"/>
        <v>0</v>
      </c>
      <c r="L33" s="46">
        <f t="shared" si="4"/>
        <v>0</v>
      </c>
      <c r="N33" s="6"/>
    </row>
    <row r="34" spans="2:14" x14ac:dyDescent="0.45">
      <c r="B34" s="20" t="str">
        <f>+'County Data'!$B$18</f>
        <v>Deschutes</v>
      </c>
      <c r="C34" s="15">
        <f>VLOOKUP($B34,'County Data'!$B$10:$P$46,2,FALSE)</f>
        <v>193000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4">
        <f>IF(F34&lt;0,0,$C$4*Input!$C$26/36)</f>
        <v>0</v>
      </c>
      <c r="H34" s="31">
        <f t="shared" si="0"/>
        <v>55053.191528786476</v>
      </c>
      <c r="I34" s="38">
        <f t="shared" si="1"/>
        <v>1.3783366979716358E-2</v>
      </c>
      <c r="J34" s="74">
        <f t="shared" si="2"/>
        <v>0</v>
      </c>
      <c r="K34" s="76">
        <f t="shared" si="3"/>
        <v>0</v>
      </c>
      <c r="L34" s="46">
        <f t="shared" si="4"/>
        <v>0</v>
      </c>
      <c r="N34" s="6"/>
    </row>
    <row r="35" spans="2:14" x14ac:dyDescent="0.45">
      <c r="B35" s="20" t="str">
        <f>+'County Data'!$B$24</f>
        <v>Jackson</v>
      </c>
      <c r="C35" s="15">
        <f>VLOOKUP($B35,'County Data'!$B$10:$P$46,2,FALSE)</f>
        <v>221290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4">
        <f>IF(F35&lt;0,0,$C$4*Input!$C$26/36)</f>
        <v>0</v>
      </c>
      <c r="H35" s="31">
        <f t="shared" si="0"/>
        <v>537284.19209056406</v>
      </c>
      <c r="I35" s="38">
        <f t="shared" si="1"/>
        <v>0.1345169096711204</v>
      </c>
      <c r="J35" s="74">
        <f t="shared" si="2"/>
        <v>0</v>
      </c>
      <c r="K35" s="76">
        <f t="shared" si="3"/>
        <v>0</v>
      </c>
      <c r="L35" s="46">
        <f t="shared" si="4"/>
        <v>0</v>
      </c>
      <c r="N35" s="6"/>
    </row>
    <row r="36" spans="2:14" x14ac:dyDescent="0.45">
      <c r="B36" s="20" t="str">
        <f>+'County Data'!$B$33</f>
        <v>Marion</v>
      </c>
      <c r="C36" s="15">
        <f>VLOOKUP($B36,'County Data'!$B$10:$P$46,2,FALSE)</f>
        <v>347760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4">
        <f>IF(F36&lt;0,0,$C$4*Input!$C$26/36)</f>
        <v>0</v>
      </c>
      <c r="H36" s="31">
        <f t="shared" si="0"/>
        <v>403149.61997497507</v>
      </c>
      <c r="I36" s="38">
        <f t="shared" si="1"/>
        <v>0.10093436920805444</v>
      </c>
      <c r="J36" s="74">
        <f t="shared" si="2"/>
        <v>0</v>
      </c>
      <c r="K36" s="76">
        <f t="shared" si="3"/>
        <v>0</v>
      </c>
      <c r="L36" s="46">
        <f t="shared" si="4"/>
        <v>0</v>
      </c>
      <c r="N36" s="6"/>
    </row>
    <row r="37" spans="2:14" x14ac:dyDescent="0.45">
      <c r="B37" s="20" t="str">
        <f>+'County Data'!$B$29</f>
        <v>Lane</v>
      </c>
      <c r="C37" s="15">
        <f>VLOOKUP($B37,'County Data'!$B$10:$P$46,2,FALSE)</f>
        <v>378880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4">
        <f>IF(F37&lt;0,0,$C$4*Input!$C$26/36)</f>
        <v>0</v>
      </c>
      <c r="H37" s="31">
        <f t="shared" si="0"/>
        <v>509329.41151248798</v>
      </c>
      <c r="I37" s="38">
        <f t="shared" si="1"/>
        <v>0.12751802388729447</v>
      </c>
      <c r="J37" s="74">
        <f t="shared" si="2"/>
        <v>0</v>
      </c>
      <c r="K37" s="76">
        <f t="shared" si="3"/>
        <v>0</v>
      </c>
      <c r="L37" s="46">
        <f t="shared" si="4"/>
        <v>0</v>
      </c>
      <c r="N37" s="6"/>
    </row>
    <row r="38" spans="2:14" x14ac:dyDescent="0.45">
      <c r="B38" s="20" t="str">
        <f>+'County Data'!$B$12</f>
        <v>Clackamas</v>
      </c>
      <c r="C38" s="15">
        <f>VLOOKUP($B38,'County Data'!$B$10:$P$46,2,FALSE)</f>
        <v>423420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4">
        <f>IF(F38&lt;0,0,$C$4*Input!$C$26/36)</f>
        <v>0</v>
      </c>
      <c r="H38" s="31">
        <f t="shared" si="0"/>
        <v>657780.8467018865</v>
      </c>
      <c r="I38" s="38">
        <f t="shared" si="1"/>
        <v>0.16468499918991888</v>
      </c>
      <c r="J38" s="74">
        <f t="shared" si="2"/>
        <v>0</v>
      </c>
      <c r="K38" s="76">
        <f t="shared" si="3"/>
        <v>0</v>
      </c>
      <c r="L38" s="46">
        <f t="shared" si="4"/>
        <v>0</v>
      </c>
      <c r="N38" s="6"/>
    </row>
    <row r="39" spans="2:14" x14ac:dyDescent="0.45">
      <c r="B39" s="20" t="str">
        <f>+'County Data'!$B$44</f>
        <v>Washington</v>
      </c>
      <c r="C39" s="15">
        <f>VLOOKUP($B39,'County Data'!$B$10:$P$46,2,FALSE)</f>
        <v>613410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4">
        <f>IF(F39&lt;0,0,$C$4*Input!$C$26/36)</f>
        <v>0</v>
      </c>
      <c r="H39" s="31">
        <f t="shared" si="0"/>
        <v>495013.06417918432</v>
      </c>
      <c r="I39" s="38">
        <f t="shared" si="1"/>
        <v>0.12393371817087059</v>
      </c>
      <c r="J39" s="74">
        <f t="shared" si="2"/>
        <v>0</v>
      </c>
      <c r="K39" s="76">
        <f t="shared" si="3"/>
        <v>0</v>
      </c>
      <c r="L39" s="46">
        <f t="shared" si="4"/>
        <v>0</v>
      </c>
      <c r="N39" s="6"/>
    </row>
    <row r="40" spans="2:14" x14ac:dyDescent="0.45">
      <c r="B40" s="20" t="str">
        <f>+'County Data'!$B$35</f>
        <v>Multnomah</v>
      </c>
      <c r="C40" s="15">
        <f>VLOOKUP($B40,'County Data'!$B$10:$P$46,2,FALSE)</f>
        <v>821730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4">
        <f>IF(F40&lt;0,0,$C$4*Input!$C$26/36)</f>
        <v>0</v>
      </c>
      <c r="H40" s="31">
        <f t="shared" si="0"/>
        <v>0</v>
      </c>
      <c r="I40" s="38">
        <f t="shared" si="1"/>
        <v>0</v>
      </c>
      <c r="J40" s="74">
        <f t="shared" si="2"/>
        <v>0</v>
      </c>
      <c r="K40" s="76">
        <f t="shared" si="3"/>
        <v>0</v>
      </c>
      <c r="L40" s="46">
        <f t="shared" si="4"/>
        <v>0</v>
      </c>
      <c r="N40" s="157"/>
    </row>
    <row r="41" spans="2:14" x14ac:dyDescent="0.45">
      <c r="B41" s="4" t="s">
        <v>2</v>
      </c>
      <c r="C41" s="5">
        <f>SUM(C7:C40)</f>
        <v>4236400</v>
      </c>
      <c r="D41" s="73">
        <f>SUM(D7:D40)</f>
        <v>68747850</v>
      </c>
      <c r="E41" s="73">
        <f>SUM(E7:E40)</f>
        <v>70042552</v>
      </c>
      <c r="F41" s="21">
        <f t="shared" si="5"/>
        <v>1.8832618038236833E-2</v>
      </c>
      <c r="G41" s="73">
        <f>SUM(G7:G40)</f>
        <v>0</v>
      </c>
      <c r="H41" s="5">
        <f>SUM(H7:H40)</f>
        <v>3994175.8504872508</v>
      </c>
      <c r="I41" s="21">
        <f>SUM(I7:I40)</f>
        <v>1</v>
      </c>
      <c r="J41" s="73">
        <f>SUM(J7:J40)</f>
        <v>0</v>
      </c>
      <c r="K41" s="73">
        <f t="shared" ref="K41" si="6">SUM(K7:K40)</f>
        <v>0</v>
      </c>
      <c r="L41" s="72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5.73046875" bestFit="1" customWidth="1"/>
    <col min="5" max="5" width="11.59765625" bestFit="1" customWidth="1"/>
    <col min="6" max="6" width="10.73046875" bestFit="1" customWidth="1"/>
    <col min="7" max="7" width="11.59765625" bestFit="1" customWidth="1"/>
    <col min="8" max="8" width="10" bestFit="1" customWidth="1"/>
    <col min="9" max="10" width="9.1328125" hidden="1" customWidth="1"/>
    <col min="11" max="12" width="10.73046875" hidden="1" customWidth="1"/>
    <col min="13" max="15" width="9.1328125" hidden="1" customWidth="1"/>
    <col min="16" max="17" width="10.73046875" hidden="1" customWidth="1"/>
    <col min="18" max="20" width="9.1328125" hidden="1" customWidth="1"/>
    <col min="21" max="22" width="10.73046875" hidden="1" customWidth="1"/>
    <col min="23" max="23" width="9.1328125" hidden="1" customWidth="1"/>
    <col min="24" max="24" width="11.1328125" bestFit="1" customWidth="1"/>
    <col min="25" max="25" width="10.59765625" bestFit="1" customWidth="1"/>
  </cols>
  <sheetData>
    <row r="2" spans="2:25" x14ac:dyDescent="0.45">
      <c r="B2" t="s">
        <v>0</v>
      </c>
      <c r="C2" s="1">
        <f>'County Data'!C5</f>
        <v>63910417</v>
      </c>
    </row>
    <row r="3" spans="2:25" x14ac:dyDescent="0.45">
      <c r="B3" t="s">
        <v>41</v>
      </c>
      <c r="C3" s="14">
        <f>$C$2*Input!$C$28</f>
        <v>0</v>
      </c>
    </row>
    <row r="4" spans="2:25" x14ac:dyDescent="0.45">
      <c r="D4" s="22"/>
      <c r="E4" s="71">
        <f>Input!$D$31</f>
        <v>1</v>
      </c>
      <c r="J4" s="71">
        <f>Input!$D$32</f>
        <v>0</v>
      </c>
      <c r="O4" s="71">
        <f>Input!$D$33</f>
        <v>0</v>
      </c>
      <c r="T4" s="71">
        <f>Input!$D$34</f>
        <v>0</v>
      </c>
    </row>
    <row r="5" spans="2:25" x14ac:dyDescent="0.45">
      <c r="D5" s="213" t="s">
        <v>95</v>
      </c>
      <c r="E5" s="213"/>
      <c r="F5" s="213"/>
      <c r="G5" s="213"/>
      <c r="H5" s="213"/>
      <c r="I5" s="214" t="s">
        <v>99</v>
      </c>
      <c r="J5" s="214"/>
      <c r="K5" s="214"/>
      <c r="L5" s="214"/>
      <c r="M5" s="214"/>
      <c r="N5" s="213" t="s">
        <v>100</v>
      </c>
      <c r="O5" s="213"/>
      <c r="P5" s="213"/>
      <c r="Q5" s="213"/>
      <c r="R5" s="213"/>
      <c r="S5" s="214" t="s">
        <v>101</v>
      </c>
      <c r="T5" s="214"/>
      <c r="U5" s="214"/>
      <c r="V5" s="214"/>
      <c r="W5" s="214"/>
    </row>
    <row r="6" spans="2:25" s="2" customFormat="1" ht="28.5" x14ac:dyDescent="0.4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4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4">
        <f>IF(D7="Y",$C$3*Input!$C$29/36*E$4,0)</f>
        <v>0</v>
      </c>
      <c r="F7" s="15">
        <f>IF(D7="Y",$C7,0)</f>
        <v>1440</v>
      </c>
      <c r="G7" s="74">
        <f>ROUND(($C$3*E$4-E$41)*(F7/F$41),2)</f>
        <v>0</v>
      </c>
      <c r="H7" s="75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4">
        <f>ROUND(($C$3*J$4-J$41)*(K7/K$41),2)</f>
        <v>0</v>
      </c>
      <c r="M7" s="75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4">
        <f>ROUND(($C$3*O$4-O$41)*(P7/P$41),2)</f>
        <v>0</v>
      </c>
      <c r="R7" s="75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4">
        <f>ROUND(($C$3*T$4-T$41)*(U7/U$41),2)</f>
        <v>0</v>
      </c>
      <c r="W7" s="75">
        <f>T7+V7</f>
        <v>0</v>
      </c>
      <c r="X7" s="76">
        <f>H7+M7+R7+W7</f>
        <v>0</v>
      </c>
      <c r="Y7" s="46">
        <f>X7/C7</f>
        <v>0</v>
      </c>
    </row>
    <row r="8" spans="2:25" x14ac:dyDescent="0.45">
      <c r="B8" s="20" t="str">
        <f>+'County Data'!$B$42</f>
        <v>Wallowa</v>
      </c>
      <c r="C8" s="15">
        <f>VLOOKUP($B8,'County Data'!$B$10:$P$46,2,FALSE)</f>
        <v>7150</v>
      </c>
      <c r="D8" s="26" t="str">
        <f>VLOOKUP($B8,'County Data'!$B$9:$P$46,12,FALSE)</f>
        <v>Y</v>
      </c>
      <c r="E8" s="74">
        <f>IF(D8="Y",$C$3*Input!$C$29/36*E$4,0)</f>
        <v>0</v>
      </c>
      <c r="F8" s="15">
        <f t="shared" ref="F8:F40" si="0">IF(D8="Y",$C8,0)</f>
        <v>7150</v>
      </c>
      <c r="G8" s="74">
        <f t="shared" ref="G8:G40" si="1">ROUND(($C$3*E$4-E$41)*(F8/F$41),2)</f>
        <v>0</v>
      </c>
      <c r="H8" s="75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4">
        <f t="shared" ref="L8:L40" si="4">ROUND(($C$3*J$4-J$41)*(K8/K$41),2)</f>
        <v>0</v>
      </c>
      <c r="M8" s="75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4">
        <f t="shared" ref="Q8:Q40" si="7">ROUND(($C$3*O$4-O$41)*(P8/P$41),2)</f>
        <v>0</v>
      </c>
      <c r="R8" s="75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4">
        <f t="shared" ref="V8:V40" si="10">ROUND(($C$3*T$4-T$41)*(U8/U$41),2)</f>
        <v>0</v>
      </c>
      <c r="W8" s="75">
        <f t="shared" ref="W8:W40" si="11">T8+V8</f>
        <v>0</v>
      </c>
      <c r="X8" s="76">
        <f t="shared" ref="X8:X40" si="12">H8+M8+R8+W8</f>
        <v>0</v>
      </c>
      <c r="Y8" s="46">
        <f t="shared" ref="Y8:Y41" si="13">X8/C8</f>
        <v>0</v>
      </c>
    </row>
    <row r="9" spans="2:25" x14ac:dyDescent="0.45">
      <c r="B9" s="20" t="str">
        <f>+'County Data'!$B$22</f>
        <v>Harney</v>
      </c>
      <c r="C9" s="15">
        <f>VLOOKUP($B9,'County Data'!$B$10:$P$46,2,FALSE)</f>
        <v>7360</v>
      </c>
      <c r="D9" s="26" t="str">
        <f>VLOOKUP($B9,'County Data'!$B$9:$P$46,12,FALSE)</f>
        <v>Y</v>
      </c>
      <c r="E9" s="74">
        <f>IF(D9="Y",$C$3*Input!$C$29/36*E$4,0)</f>
        <v>0</v>
      </c>
      <c r="F9" s="15">
        <f t="shared" si="0"/>
        <v>7360</v>
      </c>
      <c r="G9" s="74">
        <f t="shared" si="1"/>
        <v>0</v>
      </c>
      <c r="H9" s="75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4">
        <f t="shared" si="4"/>
        <v>0</v>
      </c>
      <c r="M9" s="75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4">
        <f t="shared" si="7"/>
        <v>0</v>
      </c>
      <c r="R9" s="75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4">
        <f t="shared" si="10"/>
        <v>0</v>
      </c>
      <c r="W9" s="75">
        <f t="shared" si="11"/>
        <v>0</v>
      </c>
      <c r="X9" s="76">
        <f t="shared" si="12"/>
        <v>0</v>
      </c>
      <c r="Y9" s="46">
        <f t="shared" si="13"/>
        <v>0</v>
      </c>
    </row>
    <row r="10" spans="2:25" x14ac:dyDescent="0.45">
      <c r="B10" s="20" t="str">
        <f>+'County Data'!$B$21</f>
        <v>Grant</v>
      </c>
      <c r="C10" s="15">
        <f>VLOOKUP($B10,'County Data'!$B$10:$P$46,2,FALSE)</f>
        <v>7360</v>
      </c>
      <c r="D10" s="26" t="str">
        <f>VLOOKUP($B10,'County Data'!$B$9:$P$46,12,FALSE)</f>
        <v>Y</v>
      </c>
      <c r="E10" s="74">
        <f>IF(D10="Y",$C$3*Input!$C$29/36*E$4,0)</f>
        <v>0</v>
      </c>
      <c r="F10" s="15">
        <f t="shared" si="0"/>
        <v>7360</v>
      </c>
      <c r="G10" s="74">
        <f t="shared" si="1"/>
        <v>0</v>
      </c>
      <c r="H10" s="75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4">
        <f t="shared" si="4"/>
        <v>0</v>
      </c>
      <c r="M10" s="75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4">
        <f t="shared" si="7"/>
        <v>0</v>
      </c>
      <c r="R10" s="75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4">
        <f t="shared" si="10"/>
        <v>0</v>
      </c>
      <c r="W10" s="75">
        <f t="shared" si="11"/>
        <v>0</v>
      </c>
      <c r="X10" s="76">
        <f t="shared" si="12"/>
        <v>0</v>
      </c>
      <c r="Y10" s="46">
        <f t="shared" si="13"/>
        <v>0</v>
      </c>
    </row>
    <row r="11" spans="2:25" x14ac:dyDescent="0.45">
      <c r="B11" s="20" t="str">
        <f>+'County Data'!$B$28</f>
        <v>Lake</v>
      </c>
      <c r="C11" s="15">
        <f>VLOOKUP($B11,'County Data'!$B$10:$P$46,2,FALSE)</f>
        <v>8080</v>
      </c>
      <c r="D11" s="26" t="str">
        <f>VLOOKUP($B11,'County Data'!$B$9:$P$46,12,FALSE)</f>
        <v>Y</v>
      </c>
      <c r="E11" s="74">
        <f>IF(D11="Y",$C$3*Input!$C$29/36*E$4,0)</f>
        <v>0</v>
      </c>
      <c r="F11" s="15">
        <f t="shared" si="0"/>
        <v>8080</v>
      </c>
      <c r="G11" s="74">
        <f t="shared" si="1"/>
        <v>0</v>
      </c>
      <c r="H11" s="75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4">
        <f t="shared" si="4"/>
        <v>0</v>
      </c>
      <c r="M11" s="75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4">
        <f t="shared" si="7"/>
        <v>0</v>
      </c>
      <c r="R11" s="75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4">
        <f t="shared" si="10"/>
        <v>0</v>
      </c>
      <c r="W11" s="75">
        <f t="shared" si="11"/>
        <v>0</v>
      </c>
      <c r="X11" s="76">
        <f t="shared" si="12"/>
        <v>0</v>
      </c>
      <c r="Y11" s="46">
        <f t="shared" si="13"/>
        <v>0</v>
      </c>
    </row>
    <row r="12" spans="2:25" x14ac:dyDescent="0.45">
      <c r="B12" s="20" t="str">
        <f>+'County Data'!$B$34</f>
        <v>Morrow</v>
      </c>
      <c r="C12" s="15">
        <f>VLOOKUP($B12,'County Data'!$B$10:$P$46,2,FALSE)</f>
        <v>12680</v>
      </c>
      <c r="D12" s="26" t="str">
        <f>VLOOKUP($B12,'County Data'!$B$9:$P$46,12,FALSE)</f>
        <v>Y</v>
      </c>
      <c r="E12" s="74">
        <f>IF(D12="Y",$C$3*Input!$C$29/36*E$4,0)</f>
        <v>0</v>
      </c>
      <c r="F12" s="15">
        <f t="shared" si="0"/>
        <v>12680</v>
      </c>
      <c r="G12" s="74">
        <f t="shared" si="1"/>
        <v>0</v>
      </c>
      <c r="H12" s="75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4">
        <f t="shared" si="4"/>
        <v>0</v>
      </c>
      <c r="M12" s="75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4">
        <f t="shared" si="7"/>
        <v>0</v>
      </c>
      <c r="R12" s="75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4">
        <f t="shared" si="10"/>
        <v>0</v>
      </c>
      <c r="W12" s="75">
        <f t="shared" si="11"/>
        <v>0</v>
      </c>
      <c r="X12" s="76">
        <f t="shared" si="12"/>
        <v>0</v>
      </c>
      <c r="Y12" s="46">
        <f t="shared" si="13"/>
        <v>0</v>
      </c>
    </row>
    <row r="13" spans="2:25" x14ac:dyDescent="0.45">
      <c r="B13" s="20" t="str">
        <f>+'County Data'!$B$10</f>
        <v>Baker</v>
      </c>
      <c r="C13" s="15">
        <f>VLOOKUP($B13,'County Data'!$B$10:$P$46,2,FALSE)</f>
        <v>16820</v>
      </c>
      <c r="D13" s="26" t="str">
        <f>VLOOKUP($B13,'County Data'!$B$9:$P$46,12,FALSE)</f>
        <v>Y</v>
      </c>
      <c r="E13" s="74">
        <f>IF(D13="Y",$C$3*Input!$C$29/36*E$4,0)</f>
        <v>0</v>
      </c>
      <c r="F13" s="15">
        <f t="shared" si="0"/>
        <v>16820</v>
      </c>
      <c r="G13" s="74">
        <f t="shared" si="1"/>
        <v>0</v>
      </c>
      <c r="H13" s="75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4">
        <f t="shared" si="4"/>
        <v>0</v>
      </c>
      <c r="M13" s="75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4">
        <f t="shared" si="7"/>
        <v>0</v>
      </c>
      <c r="R13" s="75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4">
        <f t="shared" si="10"/>
        <v>0</v>
      </c>
      <c r="W13" s="75">
        <f t="shared" si="11"/>
        <v>0</v>
      </c>
      <c r="X13" s="76">
        <f t="shared" si="12"/>
        <v>0</v>
      </c>
      <c r="Y13" s="46">
        <f t="shared" si="13"/>
        <v>0</v>
      </c>
    </row>
    <row r="14" spans="2:25" x14ac:dyDescent="0.4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4">
        <f>IF(D14="Y",$C$3*Input!$C$29/36*E$4,0)</f>
        <v>0</v>
      </c>
      <c r="F14" s="15">
        <f t="shared" si="0"/>
        <v>23440</v>
      </c>
      <c r="G14" s="74">
        <f t="shared" si="1"/>
        <v>0</v>
      </c>
      <c r="H14" s="75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4">
        <f t="shared" si="4"/>
        <v>0</v>
      </c>
      <c r="M14" s="75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4">
        <f t="shared" si="7"/>
        <v>0</v>
      </c>
      <c r="R14" s="75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4">
        <f t="shared" si="10"/>
        <v>0</v>
      </c>
      <c r="W14" s="75">
        <f t="shared" si="11"/>
        <v>0</v>
      </c>
      <c r="X14" s="76">
        <f t="shared" si="12"/>
        <v>0</v>
      </c>
      <c r="Y14" s="46">
        <f t="shared" si="13"/>
        <v>0</v>
      </c>
    </row>
    <row r="15" spans="2:25" x14ac:dyDescent="0.45">
      <c r="B15" s="20" t="str">
        <f>+'County Data'!$B$25</f>
        <v>Jefferson</v>
      </c>
      <c r="C15" s="15">
        <f>VLOOKUP($B15,'County Data'!$B$10:$P$46,2,FALSE)</f>
        <v>23840</v>
      </c>
      <c r="D15" s="26" t="str">
        <f>VLOOKUP($B15,'County Data'!$B$9:$P$46,12,FALSE)</f>
        <v>Y</v>
      </c>
      <c r="E15" s="74">
        <f>IF(D15="Y",$C$3*Input!$C$29/36*E$4,0)</f>
        <v>0</v>
      </c>
      <c r="F15" s="15">
        <f t="shared" si="0"/>
        <v>23840</v>
      </c>
      <c r="G15" s="74">
        <f t="shared" si="1"/>
        <v>0</v>
      </c>
      <c r="H15" s="75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4">
        <f t="shared" si="4"/>
        <v>0</v>
      </c>
      <c r="M15" s="75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4">
        <f t="shared" si="7"/>
        <v>0</v>
      </c>
      <c r="R15" s="75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4">
        <f t="shared" si="10"/>
        <v>0</v>
      </c>
      <c r="W15" s="75">
        <f t="shared" si="11"/>
        <v>0</v>
      </c>
      <c r="X15" s="76">
        <f t="shared" si="12"/>
        <v>0</v>
      </c>
      <c r="Y15" s="46">
        <f t="shared" si="13"/>
        <v>0</v>
      </c>
    </row>
    <row r="16" spans="2:25" x14ac:dyDescent="0.45">
      <c r="B16" s="20" t="str">
        <f>+'County Data'!$B$17</f>
        <v>Curry</v>
      </c>
      <c r="C16" s="15">
        <f>VLOOKUP($B16,'County Data'!$B$10:$P$46,2,FALSE)</f>
        <v>23000</v>
      </c>
      <c r="D16" s="26" t="str">
        <f>VLOOKUP($B16,'County Data'!$B$9:$P$46,12,FALSE)</f>
        <v>Y</v>
      </c>
      <c r="E16" s="74">
        <f>IF(D16="Y",$C$3*Input!$C$29/36*E$4,0)</f>
        <v>0</v>
      </c>
      <c r="F16" s="15">
        <f t="shared" si="0"/>
        <v>23000</v>
      </c>
      <c r="G16" s="74">
        <f t="shared" si="1"/>
        <v>0</v>
      </c>
      <c r="H16" s="75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4">
        <f t="shared" si="4"/>
        <v>0</v>
      </c>
      <c r="M16" s="75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4">
        <f t="shared" si="7"/>
        <v>0</v>
      </c>
      <c r="R16" s="75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4">
        <f t="shared" si="10"/>
        <v>0</v>
      </c>
      <c r="W16" s="75">
        <f t="shared" si="11"/>
        <v>0</v>
      </c>
      <c r="X16" s="76">
        <f t="shared" si="12"/>
        <v>0</v>
      </c>
      <c r="Y16" s="46">
        <f t="shared" si="13"/>
        <v>0</v>
      </c>
    </row>
    <row r="17" spans="2:25" x14ac:dyDescent="0.45">
      <c r="B17" s="20" t="str">
        <f>+'County Data'!$B$23</f>
        <v>Hood River</v>
      </c>
      <c r="C17" s="15">
        <f>VLOOKUP($B17,'County Data'!$B$10:$P$46,2,FALSE)</f>
        <v>25480</v>
      </c>
      <c r="D17" s="26" t="str">
        <f>VLOOKUP($B17,'County Data'!$B$9:$P$46,12,FALSE)</f>
        <v>Y</v>
      </c>
      <c r="E17" s="74">
        <f>IF(D17="Y",$C$3*Input!$C$29/36*E$4,0)</f>
        <v>0</v>
      </c>
      <c r="F17" s="15">
        <f t="shared" si="0"/>
        <v>25480</v>
      </c>
      <c r="G17" s="74">
        <f t="shared" si="1"/>
        <v>0</v>
      </c>
      <c r="H17" s="75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4">
        <f t="shared" si="4"/>
        <v>0</v>
      </c>
      <c r="M17" s="75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4">
        <f t="shared" si="7"/>
        <v>0</v>
      </c>
      <c r="R17" s="75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4">
        <f t="shared" si="10"/>
        <v>0</v>
      </c>
      <c r="W17" s="75">
        <f t="shared" si="11"/>
        <v>0</v>
      </c>
      <c r="X17" s="76">
        <f t="shared" si="12"/>
        <v>0</v>
      </c>
      <c r="Y17" s="46">
        <f t="shared" si="13"/>
        <v>0</v>
      </c>
    </row>
    <row r="18" spans="2:25" x14ac:dyDescent="0.45">
      <c r="B18" s="20" t="str">
        <f>+'County Data'!$B$39</f>
        <v>Tillamook</v>
      </c>
      <c r="C18" s="15">
        <f>VLOOKUP($B18,'County Data'!$B$10:$P$46,2,FALSE)</f>
        <v>26500</v>
      </c>
      <c r="D18" s="26" t="str">
        <f>VLOOKUP($B18,'County Data'!$B$9:$P$46,12,FALSE)</f>
        <v>Y</v>
      </c>
      <c r="E18" s="74">
        <f>IF(D18="Y",$C$3*Input!$C$29/36*E$4,0)</f>
        <v>0</v>
      </c>
      <c r="F18" s="15">
        <f t="shared" si="0"/>
        <v>26500</v>
      </c>
      <c r="G18" s="74">
        <f t="shared" si="1"/>
        <v>0</v>
      </c>
      <c r="H18" s="75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4">
        <f t="shared" si="4"/>
        <v>0</v>
      </c>
      <c r="M18" s="75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4">
        <f t="shared" si="7"/>
        <v>0</v>
      </c>
      <c r="R18" s="75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4">
        <f t="shared" si="10"/>
        <v>0</v>
      </c>
      <c r="W18" s="75">
        <f t="shared" si="11"/>
        <v>0</v>
      </c>
      <c r="X18" s="76">
        <f t="shared" si="12"/>
        <v>0</v>
      </c>
      <c r="Y18" s="46">
        <f t="shared" si="13"/>
        <v>0</v>
      </c>
    </row>
    <row r="19" spans="2:25" x14ac:dyDescent="0.4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4">
        <f>IF(D19="Y",$C$3*Input!$C$29/36*E$4,0)</f>
        <v>0</v>
      </c>
      <c r="F19" s="15">
        <f t="shared" si="0"/>
        <v>26840</v>
      </c>
      <c r="G19" s="74">
        <f t="shared" si="1"/>
        <v>0</v>
      </c>
      <c r="H19" s="75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4">
        <f t="shared" si="4"/>
        <v>0</v>
      </c>
      <c r="M19" s="75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4">
        <f t="shared" si="7"/>
        <v>0</v>
      </c>
      <c r="R19" s="75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4">
        <f t="shared" si="10"/>
        <v>0</v>
      </c>
      <c r="W19" s="75">
        <f t="shared" si="11"/>
        <v>0</v>
      </c>
      <c r="X19" s="76">
        <f t="shared" si="12"/>
        <v>0</v>
      </c>
      <c r="Y19" s="46">
        <f t="shared" si="13"/>
        <v>0</v>
      </c>
    </row>
    <row r="20" spans="2:25" x14ac:dyDescent="0.45">
      <c r="B20" s="20" t="str">
        <f>+'County Data'!$B$36</f>
        <v>Gilliam, Sherman, Wasco</v>
      </c>
      <c r="C20" s="15">
        <f>VLOOKUP($B20,'County Data'!$B$10:$P$46,2,FALSE)</f>
        <v>31000</v>
      </c>
      <c r="D20" s="26" t="str">
        <f>VLOOKUP($B20,'County Data'!$B$9:$P$46,12,FALSE)</f>
        <v>Y</v>
      </c>
      <c r="E20" s="74">
        <f>IF(D20="Y",$C$3*Input!$C$29/36*3*E$4,0)</f>
        <v>0</v>
      </c>
      <c r="F20" s="15">
        <f t="shared" si="0"/>
        <v>31000</v>
      </c>
      <c r="G20" s="74">
        <f t="shared" si="1"/>
        <v>0</v>
      </c>
      <c r="H20" s="75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4">
        <f t="shared" si="4"/>
        <v>0</v>
      </c>
      <c r="M20" s="75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4">
        <f t="shared" si="7"/>
        <v>0</v>
      </c>
      <c r="R20" s="75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4">
        <f t="shared" si="10"/>
        <v>0</v>
      </c>
      <c r="W20" s="75">
        <f t="shared" si="11"/>
        <v>0</v>
      </c>
      <c r="X20" s="76">
        <f t="shared" si="12"/>
        <v>0</v>
      </c>
      <c r="Y20" s="46">
        <f t="shared" si="13"/>
        <v>0</v>
      </c>
    </row>
    <row r="21" spans="2:25" x14ac:dyDescent="0.45">
      <c r="B21" s="20" t="str">
        <f>+'County Data'!$B$32</f>
        <v>Malheur</v>
      </c>
      <c r="C21" s="15">
        <f>VLOOKUP($B21,'County Data'!$B$10:$P$46,2,FALSE)</f>
        <v>32030</v>
      </c>
      <c r="D21" s="26" t="str">
        <f>VLOOKUP($B21,'County Data'!$B$9:$P$46,12,FALSE)</f>
        <v>Y</v>
      </c>
      <c r="E21" s="74">
        <f>IF(D21="Y",$C$3*Input!$C$29/36*E$4,0)</f>
        <v>0</v>
      </c>
      <c r="F21" s="15">
        <f t="shared" si="0"/>
        <v>32030</v>
      </c>
      <c r="G21" s="74">
        <f t="shared" si="1"/>
        <v>0</v>
      </c>
      <c r="H21" s="75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4">
        <f t="shared" si="4"/>
        <v>0</v>
      </c>
      <c r="M21" s="75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4">
        <f t="shared" si="7"/>
        <v>0</v>
      </c>
      <c r="R21" s="75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4">
        <f t="shared" si="10"/>
        <v>0</v>
      </c>
      <c r="W21" s="75">
        <f t="shared" si="11"/>
        <v>0</v>
      </c>
      <c r="X21" s="76">
        <f t="shared" si="12"/>
        <v>0</v>
      </c>
      <c r="Y21" s="46">
        <f t="shared" si="13"/>
        <v>0</v>
      </c>
    </row>
    <row r="22" spans="2:25" x14ac:dyDescent="0.45">
      <c r="B22" s="20" t="str">
        <f>+'County Data'!$B$13</f>
        <v>Clatsop</v>
      </c>
      <c r="C22" s="15">
        <f>VLOOKUP($B22,'County Data'!$B$10:$P$46,2,FALSE)</f>
        <v>39330</v>
      </c>
      <c r="D22" s="26" t="str">
        <f>VLOOKUP($B22,'County Data'!$B$9:$P$46,12,FALSE)</f>
        <v>Y</v>
      </c>
      <c r="E22" s="74">
        <f>IF(D22="Y",$C$3*Input!$C$29/36*E$4,0)</f>
        <v>0</v>
      </c>
      <c r="F22" s="15">
        <f t="shared" si="0"/>
        <v>39330</v>
      </c>
      <c r="G22" s="74">
        <f t="shared" si="1"/>
        <v>0</v>
      </c>
      <c r="H22" s="75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4">
        <f t="shared" si="4"/>
        <v>0</v>
      </c>
      <c r="M22" s="75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4">
        <f t="shared" si="7"/>
        <v>0</v>
      </c>
      <c r="R22" s="75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4">
        <f t="shared" si="10"/>
        <v>0</v>
      </c>
      <c r="W22" s="75">
        <f t="shared" si="11"/>
        <v>0</v>
      </c>
      <c r="X22" s="76">
        <f t="shared" si="12"/>
        <v>0</v>
      </c>
      <c r="Y22" s="46">
        <f t="shared" si="13"/>
        <v>0</v>
      </c>
    </row>
    <row r="23" spans="2:25" x14ac:dyDescent="0.45">
      <c r="B23" s="20" t="str">
        <f>+'County Data'!$B$30</f>
        <v>Lincoln</v>
      </c>
      <c r="C23" s="15">
        <f>VLOOKUP($B23,'County Data'!$B$10:$P$46,2,FALSE)</f>
        <v>48260</v>
      </c>
      <c r="D23" s="26" t="str">
        <f>VLOOKUP($B23,'County Data'!$B$9:$P$46,12,FALSE)</f>
        <v>Y</v>
      </c>
      <c r="E23" s="74">
        <f>IF(D23="Y",$C$3*Input!$C$29/36*E$4,0)</f>
        <v>0</v>
      </c>
      <c r="F23" s="15">
        <f t="shared" si="0"/>
        <v>48260</v>
      </c>
      <c r="G23" s="74">
        <f t="shared" si="1"/>
        <v>0</v>
      </c>
      <c r="H23" s="75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4">
        <f t="shared" si="4"/>
        <v>0</v>
      </c>
      <c r="M23" s="75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4">
        <f t="shared" si="7"/>
        <v>0</v>
      </c>
      <c r="R23" s="75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4">
        <f t="shared" si="10"/>
        <v>0</v>
      </c>
      <c r="W23" s="75">
        <f t="shared" si="11"/>
        <v>0</v>
      </c>
      <c r="X23" s="76">
        <f t="shared" si="12"/>
        <v>0</v>
      </c>
      <c r="Y23" s="46">
        <f t="shared" si="13"/>
        <v>0</v>
      </c>
    </row>
    <row r="24" spans="2:25" x14ac:dyDescent="0.45">
      <c r="B24" s="20" t="str">
        <f>+'County Data'!$B$14</f>
        <v>Columbia</v>
      </c>
      <c r="C24" s="15">
        <f>VLOOKUP($B24,'County Data'!$B$10:$P$46,2,FALSE)</f>
        <v>52750</v>
      </c>
      <c r="D24" s="26" t="str">
        <f>VLOOKUP($B24,'County Data'!$B$9:$P$46,12,FALSE)</f>
        <v>Y</v>
      </c>
      <c r="E24" s="74">
        <f>IF(D24="Y",$C$3*Input!$C$29/36*E$4,0)</f>
        <v>0</v>
      </c>
      <c r="F24" s="15">
        <f t="shared" si="0"/>
        <v>52750</v>
      </c>
      <c r="G24" s="74">
        <f t="shared" si="1"/>
        <v>0</v>
      </c>
      <c r="H24" s="75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4">
        <f t="shared" si="4"/>
        <v>0</v>
      </c>
      <c r="M24" s="75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4">
        <f t="shared" si="7"/>
        <v>0</v>
      </c>
      <c r="R24" s="75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4">
        <f t="shared" si="10"/>
        <v>0</v>
      </c>
      <c r="W24" s="75">
        <f t="shared" si="11"/>
        <v>0</v>
      </c>
      <c r="X24" s="76">
        <f t="shared" si="12"/>
        <v>0</v>
      </c>
      <c r="Y24" s="46">
        <f t="shared" si="13"/>
        <v>0</v>
      </c>
    </row>
    <row r="25" spans="2:25" x14ac:dyDescent="0.45">
      <c r="B25" s="20" t="str">
        <f>+'County Data'!$B$15</f>
        <v>Coos</v>
      </c>
      <c r="C25" s="15">
        <f>VLOOKUP($B25,'County Data'!$B$10:$P$46,2,FALSE)</f>
        <v>63290</v>
      </c>
      <c r="D25" s="26" t="str">
        <f>VLOOKUP($B25,'County Data'!$B$9:$P$46,12,FALSE)</f>
        <v>Y</v>
      </c>
      <c r="E25" s="74">
        <f>IF(D25="Y",$C$3*Input!$C$29/36*E$4,0)</f>
        <v>0</v>
      </c>
      <c r="F25" s="15">
        <f t="shared" si="0"/>
        <v>63290</v>
      </c>
      <c r="G25" s="74">
        <f t="shared" si="1"/>
        <v>0</v>
      </c>
      <c r="H25" s="75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4">
        <f t="shared" si="4"/>
        <v>0</v>
      </c>
      <c r="M25" s="75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4">
        <f t="shared" si="7"/>
        <v>0</v>
      </c>
      <c r="R25" s="75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4">
        <f t="shared" si="10"/>
        <v>0</v>
      </c>
      <c r="W25" s="75">
        <f t="shared" si="11"/>
        <v>0</v>
      </c>
      <c r="X25" s="76">
        <f t="shared" si="12"/>
        <v>0</v>
      </c>
      <c r="Y25" s="46">
        <f t="shared" si="13"/>
        <v>0</v>
      </c>
    </row>
    <row r="26" spans="2:25" x14ac:dyDescent="0.45">
      <c r="B26" s="20" t="str">
        <f>+'County Data'!$B$27</f>
        <v>Klamath</v>
      </c>
      <c r="C26" s="15">
        <f>VLOOKUP($B26,'County Data'!$B$10:$P$46,2,FALSE)</f>
        <v>68190</v>
      </c>
      <c r="D26" s="26" t="str">
        <f>VLOOKUP($B26,'County Data'!$B$9:$P$46,12,FALSE)</f>
        <v>Y</v>
      </c>
      <c r="E26" s="74">
        <f>IF(D26="Y",$C$3*Input!$C$29/36*E$4,0)</f>
        <v>0</v>
      </c>
      <c r="F26" s="15">
        <f t="shared" si="0"/>
        <v>68190</v>
      </c>
      <c r="G26" s="74">
        <f t="shared" si="1"/>
        <v>0</v>
      </c>
      <c r="H26" s="75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4">
        <f t="shared" si="4"/>
        <v>0</v>
      </c>
      <c r="M26" s="75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4">
        <f t="shared" si="7"/>
        <v>0</v>
      </c>
      <c r="R26" s="75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4">
        <f t="shared" si="10"/>
        <v>0</v>
      </c>
      <c r="W26" s="75">
        <f t="shared" si="11"/>
        <v>0</v>
      </c>
      <c r="X26" s="76">
        <f t="shared" si="12"/>
        <v>0</v>
      </c>
      <c r="Y26" s="46">
        <f t="shared" si="13"/>
        <v>0</v>
      </c>
    </row>
    <row r="27" spans="2:25" x14ac:dyDescent="0.45">
      <c r="B27" s="20" t="str">
        <f>+'County Data'!$B$37</f>
        <v>Polk</v>
      </c>
      <c r="C27" s="15">
        <f>VLOOKUP($B27,'County Data'!$B$10:$P$46,2,FALSE)</f>
        <v>82940</v>
      </c>
      <c r="D27" s="26" t="str">
        <f>VLOOKUP($B27,'County Data'!$B$9:$P$46,12,FALSE)</f>
        <v>Y</v>
      </c>
      <c r="E27" s="74">
        <f>IF(D27="Y",$C$3*Input!$C$29/36*E$4,0)</f>
        <v>0</v>
      </c>
      <c r="F27" s="15">
        <f t="shared" si="0"/>
        <v>82940</v>
      </c>
      <c r="G27" s="74">
        <f t="shared" si="1"/>
        <v>0</v>
      </c>
      <c r="H27" s="75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4">
        <f t="shared" si="4"/>
        <v>0</v>
      </c>
      <c r="M27" s="75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4">
        <f t="shared" si="7"/>
        <v>0</v>
      </c>
      <c r="R27" s="75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4">
        <f t="shared" si="10"/>
        <v>0</v>
      </c>
      <c r="W27" s="75">
        <f t="shared" si="11"/>
        <v>0</v>
      </c>
      <c r="X27" s="76">
        <f t="shared" si="12"/>
        <v>0</v>
      </c>
      <c r="Y27" s="46">
        <f t="shared" si="13"/>
        <v>0</v>
      </c>
    </row>
    <row r="28" spans="2:25" x14ac:dyDescent="0.45">
      <c r="B28" s="20" t="str">
        <f>+'County Data'!$B$40</f>
        <v>Umatilla</v>
      </c>
      <c r="C28" s="15">
        <f>VLOOKUP($B28,'County Data'!$B$10:$P$46,2,FALSE)</f>
        <v>81160</v>
      </c>
      <c r="D28" s="26" t="str">
        <f>VLOOKUP($B28,'County Data'!$B$9:$P$46,12,FALSE)</f>
        <v>Y</v>
      </c>
      <c r="E28" s="74">
        <f>IF(D28="Y",$C$3*Input!$C$29/36*E$4,0)</f>
        <v>0</v>
      </c>
      <c r="F28" s="15">
        <f t="shared" si="0"/>
        <v>81160</v>
      </c>
      <c r="G28" s="74">
        <f t="shared" si="1"/>
        <v>0</v>
      </c>
      <c r="H28" s="75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4">
        <f t="shared" si="4"/>
        <v>0</v>
      </c>
      <c r="M28" s="75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4">
        <f t="shared" si="7"/>
        <v>0</v>
      </c>
      <c r="R28" s="75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4">
        <f t="shared" si="10"/>
        <v>0</v>
      </c>
      <c r="W28" s="75">
        <f t="shared" si="11"/>
        <v>0</v>
      </c>
      <c r="X28" s="76">
        <f t="shared" si="12"/>
        <v>0</v>
      </c>
      <c r="Y28" s="46">
        <f t="shared" si="13"/>
        <v>0</v>
      </c>
    </row>
    <row r="29" spans="2:25" x14ac:dyDescent="0.45">
      <c r="B29" s="20" t="str">
        <f>+'County Data'!$B$26</f>
        <v>Josephine</v>
      </c>
      <c r="C29" s="15">
        <f>VLOOKUP($B29,'County Data'!$B$10:$P$46,2,FALSE)</f>
        <v>86750</v>
      </c>
      <c r="D29" s="26" t="str">
        <f>VLOOKUP($B29,'County Data'!$B$9:$P$46,12,FALSE)</f>
        <v>Y</v>
      </c>
      <c r="E29" s="74">
        <f>IF(D29="Y",$C$3*Input!$C$29/36*E$4,0)</f>
        <v>0</v>
      </c>
      <c r="F29" s="15">
        <f t="shared" si="0"/>
        <v>86750</v>
      </c>
      <c r="G29" s="74">
        <f t="shared" si="1"/>
        <v>0</v>
      </c>
      <c r="H29" s="75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4">
        <f t="shared" si="4"/>
        <v>0</v>
      </c>
      <c r="M29" s="75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4">
        <f t="shared" si="7"/>
        <v>0</v>
      </c>
      <c r="R29" s="75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4">
        <f t="shared" si="10"/>
        <v>0</v>
      </c>
      <c r="W29" s="75">
        <f t="shared" si="11"/>
        <v>0</v>
      </c>
      <c r="X29" s="76">
        <f t="shared" si="12"/>
        <v>0</v>
      </c>
      <c r="Y29" s="46">
        <f t="shared" si="13"/>
        <v>0</v>
      </c>
    </row>
    <row r="30" spans="2:25" x14ac:dyDescent="0.45">
      <c r="B30" s="20" t="str">
        <f>+'County Data'!$B$11</f>
        <v>Benton</v>
      </c>
      <c r="C30" s="15">
        <f>VLOOKUP($B30,'County Data'!$B$10:$P$46,2,FALSE)</f>
        <v>94360</v>
      </c>
      <c r="D30" s="26" t="str">
        <f>VLOOKUP($B30,'County Data'!$B$9:$P$46,12,FALSE)</f>
        <v>Y</v>
      </c>
      <c r="E30" s="74">
        <f>IF(D30="Y",$C$3*Input!$C$29/36*E$4,0)</f>
        <v>0</v>
      </c>
      <c r="F30" s="15">
        <f t="shared" si="0"/>
        <v>94360</v>
      </c>
      <c r="G30" s="74">
        <f t="shared" si="1"/>
        <v>0</v>
      </c>
      <c r="H30" s="75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4">
        <f t="shared" si="4"/>
        <v>0</v>
      </c>
      <c r="M30" s="75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4">
        <f t="shared" si="7"/>
        <v>0</v>
      </c>
      <c r="R30" s="75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4">
        <f t="shared" si="10"/>
        <v>0</v>
      </c>
      <c r="W30" s="75">
        <f t="shared" si="11"/>
        <v>0</v>
      </c>
      <c r="X30" s="76">
        <f t="shared" si="12"/>
        <v>0</v>
      </c>
      <c r="Y30" s="46">
        <f t="shared" si="13"/>
        <v>0</v>
      </c>
    </row>
    <row r="31" spans="2:25" x14ac:dyDescent="0.45">
      <c r="B31" s="20" t="str">
        <f>+'County Data'!$B$46</f>
        <v>Yamhill</v>
      </c>
      <c r="C31" s="15">
        <f>VLOOKUP($B31,'County Data'!$B$10:$P$46,2,FALSE)</f>
        <v>108060</v>
      </c>
      <c r="D31" s="26" t="str">
        <f>VLOOKUP($B31,'County Data'!$B$9:$P$46,12,FALSE)</f>
        <v>Y</v>
      </c>
      <c r="E31" s="74">
        <f>IF(D31="Y",$C$3*Input!$C$29/36*E$4,0)</f>
        <v>0</v>
      </c>
      <c r="F31" s="15">
        <f t="shared" si="0"/>
        <v>108060</v>
      </c>
      <c r="G31" s="74">
        <f t="shared" si="1"/>
        <v>0</v>
      </c>
      <c r="H31" s="75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4">
        <f t="shared" si="4"/>
        <v>0</v>
      </c>
      <c r="M31" s="75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4">
        <f t="shared" si="7"/>
        <v>0</v>
      </c>
      <c r="R31" s="75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4">
        <f t="shared" si="10"/>
        <v>0</v>
      </c>
      <c r="W31" s="75">
        <f t="shared" si="11"/>
        <v>0</v>
      </c>
      <c r="X31" s="76">
        <f t="shared" si="12"/>
        <v>0</v>
      </c>
      <c r="Y31" s="46">
        <f t="shared" si="13"/>
        <v>0</v>
      </c>
    </row>
    <row r="32" spans="2:25" x14ac:dyDescent="0.45">
      <c r="B32" s="20" t="str">
        <f>+'County Data'!$B$19</f>
        <v>Douglas</v>
      </c>
      <c r="C32" s="15">
        <f>VLOOKUP($B32,'County Data'!$B$10:$P$46,2,FALSE)</f>
        <v>112250</v>
      </c>
      <c r="D32" s="26" t="str">
        <f>VLOOKUP($B32,'County Data'!$B$9:$P$46,12,FALSE)</f>
        <v>Y</v>
      </c>
      <c r="E32" s="74">
        <f>IF(D32="Y",$C$3*Input!$C$29/36*E$4,0)</f>
        <v>0</v>
      </c>
      <c r="F32" s="15">
        <f t="shared" si="0"/>
        <v>112250</v>
      </c>
      <c r="G32" s="74">
        <f t="shared" si="1"/>
        <v>0</v>
      </c>
      <c r="H32" s="75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4">
        <f t="shared" si="4"/>
        <v>0</v>
      </c>
      <c r="M32" s="75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4">
        <f t="shared" si="7"/>
        <v>0</v>
      </c>
      <c r="R32" s="75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4">
        <f t="shared" si="10"/>
        <v>0</v>
      </c>
      <c r="W32" s="75">
        <f t="shared" si="11"/>
        <v>0</v>
      </c>
      <c r="X32" s="76">
        <f t="shared" si="12"/>
        <v>0</v>
      </c>
      <c r="Y32" s="46">
        <f t="shared" si="13"/>
        <v>0</v>
      </c>
    </row>
    <row r="33" spans="2:25" x14ac:dyDescent="0.45">
      <c r="B33" s="20" t="str">
        <f>+'County Data'!$B$31</f>
        <v>Linn</v>
      </c>
      <c r="C33" s="15">
        <f>VLOOKUP($B33,'County Data'!$B$10:$P$46,2,FALSE)</f>
        <v>126550</v>
      </c>
      <c r="D33" s="26" t="str">
        <f>VLOOKUP($B33,'County Data'!$B$9:$P$46,12,FALSE)</f>
        <v>Y</v>
      </c>
      <c r="E33" s="74">
        <f>IF(D33="Y",$C$3*Input!$C$29/36*E$4,0)</f>
        <v>0</v>
      </c>
      <c r="F33" s="15">
        <f t="shared" si="0"/>
        <v>126550</v>
      </c>
      <c r="G33" s="74">
        <f t="shared" si="1"/>
        <v>0</v>
      </c>
      <c r="H33" s="75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4">
        <f t="shared" si="4"/>
        <v>0</v>
      </c>
      <c r="M33" s="75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4">
        <f t="shared" si="7"/>
        <v>0</v>
      </c>
      <c r="R33" s="75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4">
        <f t="shared" si="10"/>
        <v>0</v>
      </c>
      <c r="W33" s="75">
        <f t="shared" si="11"/>
        <v>0</v>
      </c>
      <c r="X33" s="76">
        <f t="shared" si="12"/>
        <v>0</v>
      </c>
      <c r="Y33" s="46">
        <f t="shared" si="13"/>
        <v>0</v>
      </c>
    </row>
    <row r="34" spans="2:25" x14ac:dyDescent="0.45">
      <c r="B34" s="20" t="str">
        <f>+'County Data'!$B$18</f>
        <v>Deschutes</v>
      </c>
      <c r="C34" s="15">
        <f>VLOOKUP($B34,'County Data'!$B$10:$P$46,2,FALSE)</f>
        <v>193000</v>
      </c>
      <c r="D34" s="26" t="str">
        <f>VLOOKUP($B34,'County Data'!$B$9:$P$46,12,FALSE)</f>
        <v>Y</v>
      </c>
      <c r="E34" s="74">
        <f>IF(D34="Y",$C$3*Input!$C$29/36*E$4,0)</f>
        <v>0</v>
      </c>
      <c r="F34" s="15">
        <f t="shared" si="0"/>
        <v>193000</v>
      </c>
      <c r="G34" s="74">
        <f t="shared" si="1"/>
        <v>0</v>
      </c>
      <c r="H34" s="75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4">
        <f t="shared" si="4"/>
        <v>0</v>
      </c>
      <c r="M34" s="75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4">
        <f t="shared" si="7"/>
        <v>0</v>
      </c>
      <c r="R34" s="75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4">
        <f t="shared" si="10"/>
        <v>0</v>
      </c>
      <c r="W34" s="75">
        <f t="shared" si="11"/>
        <v>0</v>
      </c>
      <c r="X34" s="76">
        <f t="shared" si="12"/>
        <v>0</v>
      </c>
      <c r="Y34" s="46">
        <f t="shared" si="13"/>
        <v>0</v>
      </c>
    </row>
    <row r="35" spans="2:25" x14ac:dyDescent="0.45">
      <c r="B35" s="20" t="str">
        <f>+'County Data'!$B$24</f>
        <v>Jackson</v>
      </c>
      <c r="C35" s="15">
        <f>VLOOKUP($B35,'County Data'!$B$10:$P$46,2,FALSE)</f>
        <v>221290</v>
      </c>
      <c r="D35" s="26" t="str">
        <f>VLOOKUP($B35,'County Data'!$B$9:$P$46,12,FALSE)</f>
        <v>Y</v>
      </c>
      <c r="E35" s="74">
        <f>IF(D35="Y",$C$3*Input!$C$29/36*E$4,0)</f>
        <v>0</v>
      </c>
      <c r="F35" s="15">
        <f t="shared" si="0"/>
        <v>221290</v>
      </c>
      <c r="G35" s="74">
        <f t="shared" si="1"/>
        <v>0</v>
      </c>
      <c r="H35" s="75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4">
        <f t="shared" si="4"/>
        <v>0</v>
      </c>
      <c r="M35" s="75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4">
        <f t="shared" si="7"/>
        <v>0</v>
      </c>
      <c r="R35" s="75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4">
        <f t="shared" si="10"/>
        <v>0</v>
      </c>
      <c r="W35" s="75">
        <f t="shared" si="11"/>
        <v>0</v>
      </c>
      <c r="X35" s="76">
        <f t="shared" si="12"/>
        <v>0</v>
      </c>
      <c r="Y35" s="46">
        <f t="shared" si="13"/>
        <v>0</v>
      </c>
    </row>
    <row r="36" spans="2:25" x14ac:dyDescent="0.45">
      <c r="B36" s="20" t="str">
        <f>+'County Data'!$B$33</f>
        <v>Marion</v>
      </c>
      <c r="C36" s="15">
        <f>VLOOKUP($B36,'County Data'!$B$10:$P$46,2,FALSE)</f>
        <v>347760</v>
      </c>
      <c r="D36" s="26" t="str">
        <f>VLOOKUP($B36,'County Data'!$B$9:$P$46,12,FALSE)</f>
        <v>Y</v>
      </c>
      <c r="E36" s="74">
        <f>IF(D36="Y",$C$3*Input!$C$29/36*E$4,0)</f>
        <v>0</v>
      </c>
      <c r="F36" s="15">
        <f t="shared" si="0"/>
        <v>347760</v>
      </c>
      <c r="G36" s="74">
        <f t="shared" si="1"/>
        <v>0</v>
      </c>
      <c r="H36" s="75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4">
        <f t="shared" si="4"/>
        <v>0</v>
      </c>
      <c r="M36" s="75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4">
        <f t="shared" si="7"/>
        <v>0</v>
      </c>
      <c r="R36" s="75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4">
        <f t="shared" si="10"/>
        <v>0</v>
      </c>
      <c r="W36" s="75">
        <f t="shared" si="11"/>
        <v>0</v>
      </c>
      <c r="X36" s="76">
        <f t="shared" si="12"/>
        <v>0</v>
      </c>
      <c r="Y36" s="46">
        <f t="shared" si="13"/>
        <v>0</v>
      </c>
    </row>
    <row r="37" spans="2:25" x14ac:dyDescent="0.45">
      <c r="B37" s="20" t="str">
        <f>+'County Data'!$B$29</f>
        <v>Lane</v>
      </c>
      <c r="C37" s="15">
        <f>VLOOKUP($B37,'County Data'!$B$10:$P$46,2,FALSE)</f>
        <v>378880</v>
      </c>
      <c r="D37" s="26" t="str">
        <f>VLOOKUP($B37,'County Data'!$B$9:$P$46,12,FALSE)</f>
        <v>Y</v>
      </c>
      <c r="E37" s="74">
        <f>IF(D37="Y",$C$3*Input!$C$29/36*E$4,0)</f>
        <v>0</v>
      </c>
      <c r="F37" s="15">
        <f t="shared" si="0"/>
        <v>378880</v>
      </c>
      <c r="G37" s="74">
        <f t="shared" si="1"/>
        <v>0</v>
      </c>
      <c r="H37" s="75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4">
        <f t="shared" si="4"/>
        <v>0</v>
      </c>
      <c r="M37" s="75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4">
        <f t="shared" si="7"/>
        <v>0</v>
      </c>
      <c r="R37" s="75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4">
        <f t="shared" si="10"/>
        <v>0</v>
      </c>
      <c r="W37" s="75">
        <f t="shared" si="11"/>
        <v>0</v>
      </c>
      <c r="X37" s="76">
        <f t="shared" si="12"/>
        <v>0</v>
      </c>
      <c r="Y37" s="46">
        <f t="shared" si="13"/>
        <v>0</v>
      </c>
    </row>
    <row r="38" spans="2:25" x14ac:dyDescent="0.45">
      <c r="B38" s="20" t="str">
        <f>+'County Data'!$B$12</f>
        <v>Clackamas</v>
      </c>
      <c r="C38" s="15">
        <f>VLOOKUP($B38,'County Data'!$B$10:$P$46,2,FALSE)</f>
        <v>423420</v>
      </c>
      <c r="D38" s="26" t="str">
        <f>VLOOKUP($B38,'County Data'!$B$9:$P$46,12,FALSE)</f>
        <v>Y</v>
      </c>
      <c r="E38" s="74">
        <f>IF(D38="Y",$C$3*Input!$C$29/36*E$4,0)</f>
        <v>0</v>
      </c>
      <c r="F38" s="15">
        <f t="shared" si="0"/>
        <v>423420</v>
      </c>
      <c r="G38" s="74">
        <f t="shared" si="1"/>
        <v>0</v>
      </c>
      <c r="H38" s="75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4">
        <f t="shared" si="4"/>
        <v>0</v>
      </c>
      <c r="M38" s="75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4">
        <f t="shared" si="7"/>
        <v>0</v>
      </c>
      <c r="R38" s="75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4">
        <f t="shared" si="10"/>
        <v>0</v>
      </c>
      <c r="W38" s="75">
        <f t="shared" si="11"/>
        <v>0</v>
      </c>
      <c r="X38" s="76">
        <f t="shared" si="12"/>
        <v>0</v>
      </c>
      <c r="Y38" s="46">
        <f t="shared" si="13"/>
        <v>0</v>
      </c>
    </row>
    <row r="39" spans="2:25" x14ac:dyDescent="0.45">
      <c r="B39" s="20" t="str">
        <f>+'County Data'!$B$44</f>
        <v>Washington</v>
      </c>
      <c r="C39" s="15">
        <f>VLOOKUP($B39,'County Data'!$B$10:$P$46,2,FALSE)</f>
        <v>613410</v>
      </c>
      <c r="D39" s="26" t="str">
        <f>VLOOKUP($B39,'County Data'!$B$9:$P$46,12,FALSE)</f>
        <v>Y</v>
      </c>
      <c r="E39" s="74">
        <f>IF(D39="Y",$C$3*Input!$C$29/36*E$4,0)</f>
        <v>0</v>
      </c>
      <c r="F39" s="15">
        <f t="shared" si="0"/>
        <v>613410</v>
      </c>
      <c r="G39" s="74">
        <f t="shared" si="1"/>
        <v>0</v>
      </c>
      <c r="H39" s="75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4">
        <f t="shared" si="4"/>
        <v>0</v>
      </c>
      <c r="M39" s="75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4">
        <f t="shared" si="7"/>
        <v>0</v>
      </c>
      <c r="R39" s="75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4">
        <f t="shared" si="10"/>
        <v>0</v>
      </c>
      <c r="W39" s="75">
        <f t="shared" si="11"/>
        <v>0</v>
      </c>
      <c r="X39" s="76">
        <f t="shared" si="12"/>
        <v>0</v>
      </c>
      <c r="Y39" s="46">
        <f t="shared" si="13"/>
        <v>0</v>
      </c>
    </row>
    <row r="40" spans="2:25" x14ac:dyDescent="0.45">
      <c r="B40" s="20" t="str">
        <f>+'County Data'!$B$35</f>
        <v>Multnomah</v>
      </c>
      <c r="C40" s="15">
        <f>VLOOKUP($B40,'County Data'!$B$10:$P$46,2,FALSE)</f>
        <v>821730</v>
      </c>
      <c r="D40" s="26" t="str">
        <f>VLOOKUP($B40,'County Data'!$B$9:$P$46,12,FALSE)</f>
        <v>Y</v>
      </c>
      <c r="E40" s="74">
        <f>IF(D40="Y",$C$3*Input!$C$29/36*E$4,0)</f>
        <v>0</v>
      </c>
      <c r="F40" s="15">
        <f t="shared" si="0"/>
        <v>821730</v>
      </c>
      <c r="G40" s="74">
        <f t="shared" si="1"/>
        <v>0</v>
      </c>
      <c r="H40" s="75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4">
        <f t="shared" si="4"/>
        <v>0</v>
      </c>
      <c r="M40" s="75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4">
        <f t="shared" si="7"/>
        <v>0</v>
      </c>
      <c r="R40" s="75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4">
        <f t="shared" si="10"/>
        <v>0</v>
      </c>
      <c r="W40" s="75">
        <f t="shared" si="11"/>
        <v>0</v>
      </c>
      <c r="X40" s="76">
        <f t="shared" si="12"/>
        <v>0</v>
      </c>
      <c r="Y40" s="46">
        <f t="shared" si="13"/>
        <v>0</v>
      </c>
    </row>
    <row r="41" spans="2:25" x14ac:dyDescent="0.45">
      <c r="B41" s="4" t="s">
        <v>2</v>
      </c>
      <c r="C41" s="5">
        <f t="shared" ref="C41:H41" si="14">SUM(C7:C40)</f>
        <v>4236400</v>
      </c>
      <c r="D41" s="5">
        <f>COUNTIF(D7:D40,"Y")</f>
        <v>34</v>
      </c>
      <c r="E41" s="73">
        <f t="shared" si="14"/>
        <v>0</v>
      </c>
      <c r="F41" s="5">
        <f t="shared" si="14"/>
        <v>4236400</v>
      </c>
      <c r="G41" s="73">
        <f t="shared" si="14"/>
        <v>0</v>
      </c>
      <c r="H41" s="73">
        <f t="shared" si="14"/>
        <v>0</v>
      </c>
      <c r="I41" s="5">
        <f>COUNTIF(I7:I40,"Y")</f>
        <v>0</v>
      </c>
      <c r="J41" s="73">
        <f t="shared" ref="J41:M41" si="15">SUM(J7:J40)</f>
        <v>0</v>
      </c>
      <c r="K41" s="69">
        <f>SUM(K7:K40)+0.001</f>
        <v>1E-3</v>
      </c>
      <c r="L41" s="73">
        <f t="shared" si="15"/>
        <v>0</v>
      </c>
      <c r="M41" s="73">
        <f t="shared" si="15"/>
        <v>0</v>
      </c>
      <c r="N41" s="5">
        <f>COUNTIF(N7:N40,"Y")</f>
        <v>0</v>
      </c>
      <c r="O41" s="73">
        <f t="shared" ref="O41" si="16">SUM(O7:O40)</f>
        <v>0</v>
      </c>
      <c r="P41" s="69">
        <f>SUM(P7:P40)+0.001</f>
        <v>1E-3</v>
      </c>
      <c r="Q41" s="73">
        <f t="shared" ref="Q41:R41" si="17">SUM(Q7:Q40)</f>
        <v>0</v>
      </c>
      <c r="R41" s="73">
        <f t="shared" si="17"/>
        <v>0</v>
      </c>
      <c r="S41" s="5">
        <f>COUNTIF(S7:S40,"Y")</f>
        <v>0</v>
      </c>
      <c r="T41" s="73">
        <f t="shared" ref="T41" si="18">SUM(T7:T40)</f>
        <v>0</v>
      </c>
      <c r="U41" s="69">
        <f>SUM(U7:U40)+0.001</f>
        <v>1E-3</v>
      </c>
      <c r="V41" s="73">
        <f t="shared" ref="V41:X41" si="19">SUM(V7:V40)</f>
        <v>0</v>
      </c>
      <c r="W41" s="73">
        <f t="shared" si="19"/>
        <v>0</v>
      </c>
      <c r="X41" s="73">
        <f t="shared" si="19"/>
        <v>0</v>
      </c>
      <c r="Y41" s="72">
        <f t="shared" si="13"/>
        <v>0</v>
      </c>
    </row>
    <row r="42" spans="2:25" x14ac:dyDescent="0.4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showGridLines="0" tabSelected="1" zoomScale="90" zoomScaleNormal="90" workbookViewId="0">
      <selection activeCell="G2" sqref="G2"/>
    </sheetView>
  </sheetViews>
  <sheetFormatPr defaultRowHeight="14.25" x14ac:dyDescent="0.45"/>
  <cols>
    <col min="1" max="1" width="3" bestFit="1" customWidth="1"/>
    <col min="2" max="2" width="22" customWidth="1"/>
    <col min="3" max="6" width="14.265625" customWidth="1"/>
    <col min="7" max="7" width="17" customWidth="1"/>
    <col min="8" max="10" width="14.265625" customWidth="1"/>
    <col min="11" max="11" width="16.3984375" bestFit="1" customWidth="1"/>
    <col min="12" max="13" width="14.265625" customWidth="1"/>
    <col min="14" max="14" width="13.3984375" bestFit="1" customWidth="1"/>
    <col min="15" max="15" width="11.59765625" bestFit="1" customWidth="1"/>
    <col min="16" max="16" width="11" customWidth="1"/>
    <col min="17" max="17" width="10.1328125" bestFit="1" customWidth="1"/>
    <col min="18" max="18" width="11.86328125" customWidth="1"/>
    <col min="20" max="20" width="9.1328125" customWidth="1"/>
  </cols>
  <sheetData>
    <row r="1" spans="2:21" ht="18" x14ac:dyDescent="0.55000000000000004">
      <c r="B1" s="24" t="s">
        <v>133</v>
      </c>
      <c r="C1" s="24"/>
    </row>
    <row r="2" spans="2:21" ht="18" x14ac:dyDescent="0.45">
      <c r="B2" s="173" t="s">
        <v>134</v>
      </c>
      <c r="C2" s="23"/>
    </row>
    <row r="3" spans="2:21" ht="18" x14ac:dyDescent="0.45">
      <c r="B3" s="203" t="s">
        <v>149</v>
      </c>
      <c r="C3" s="204"/>
    </row>
    <row r="4" spans="2:21" ht="18" x14ac:dyDescent="0.45">
      <c r="B4" s="205" t="s">
        <v>150</v>
      </c>
      <c r="C4" s="23"/>
    </row>
    <row r="5" spans="2:21" ht="16.5" customHeight="1" x14ac:dyDescent="0.45">
      <c r="B5" s="205"/>
      <c r="C5" s="23"/>
    </row>
    <row r="6" spans="2:21" ht="18" x14ac:dyDescent="0.55000000000000004">
      <c r="B6" s="205" t="s">
        <v>151</v>
      </c>
      <c r="C6" s="23"/>
      <c r="G6" s="206">
        <v>63910417</v>
      </c>
    </row>
    <row r="7" spans="2:21" ht="16.149999999999999" thickBot="1" x14ac:dyDescent="0.5">
      <c r="B7" s="23"/>
      <c r="C7" s="23"/>
    </row>
    <row r="8" spans="2:21" ht="34.5" customHeight="1" thickTop="1" x14ac:dyDescent="0.45">
      <c r="B8" s="91"/>
      <c r="C8" s="92"/>
      <c r="D8" s="208" t="s">
        <v>115</v>
      </c>
      <c r="E8" s="209"/>
      <c r="F8" s="209"/>
      <c r="G8" s="209"/>
      <c r="H8" s="209"/>
      <c r="I8" s="209"/>
      <c r="J8" s="209"/>
      <c r="K8" s="210"/>
      <c r="L8" s="211" t="s">
        <v>116</v>
      </c>
      <c r="M8" s="212"/>
      <c r="N8" s="208" t="s">
        <v>117</v>
      </c>
      <c r="O8" s="209"/>
      <c r="P8" s="209"/>
      <c r="Q8" s="210"/>
      <c r="R8" s="93"/>
    </row>
    <row r="9" spans="2:21" s="2" customFormat="1" ht="30" x14ac:dyDescent="0.45">
      <c r="B9" s="94" t="s">
        <v>7</v>
      </c>
      <c r="C9" s="95" t="s">
        <v>128</v>
      </c>
      <c r="D9" s="130" t="s">
        <v>20</v>
      </c>
      <c r="E9" s="95" t="s">
        <v>16</v>
      </c>
      <c r="F9" s="95" t="s">
        <v>17</v>
      </c>
      <c r="G9" s="95" t="s">
        <v>129</v>
      </c>
      <c r="H9" s="95" t="s">
        <v>130</v>
      </c>
      <c r="I9" s="95" t="s">
        <v>120</v>
      </c>
      <c r="J9" s="95" t="s">
        <v>131</v>
      </c>
      <c r="K9" s="131" t="s">
        <v>132</v>
      </c>
      <c r="L9" s="167" t="s">
        <v>118</v>
      </c>
      <c r="M9" s="168" t="s">
        <v>119</v>
      </c>
      <c r="N9" s="144" t="s">
        <v>39</v>
      </c>
      <c r="O9" s="96" t="s">
        <v>5</v>
      </c>
      <c r="P9" s="96" t="s">
        <v>15</v>
      </c>
      <c r="Q9" s="145" t="s">
        <v>12</v>
      </c>
      <c r="R9" s="97" t="s">
        <v>37</v>
      </c>
    </row>
    <row r="10" spans="2:21" x14ac:dyDescent="0.45">
      <c r="B10" s="98" t="s">
        <v>81</v>
      </c>
      <c r="C10" s="99">
        <f>VLOOKUP($B10,'County Data'!$B$10:$C$46,2,FALSE)</f>
        <v>1440</v>
      </c>
      <c r="D10" s="132">
        <f>VLOOKUP($B10,Floor!$B$6:$M$45,4,FALSE)</f>
        <v>190185.03123387095</v>
      </c>
      <c r="E10" s="100">
        <f>VLOOKUP($B10,Burden!$B$6:$H$40,6,FALSE)</f>
        <v>2987.1926313458889</v>
      </c>
      <c r="F10" s="100">
        <f>VLOOKUP($B10,'Health Status'!$B$6:$H$40,6,FALSE)</f>
        <v>5860.2559411921784</v>
      </c>
      <c r="G10" s="100">
        <f>VLOOKUP($B10,Ethnicity!$B$6:$H$40,6,FALSE)</f>
        <v>1168.9272390977101</v>
      </c>
      <c r="H10" s="100">
        <f>VLOOKUP($B10,Poverty!$B$6:$H$40,6,FALSE)</f>
        <v>2143.7988738866306</v>
      </c>
      <c r="I10" s="100">
        <f>VLOOKUP($B10,Rurality!$B$6:$H$40,6,FALSE)</f>
        <v>15855.417004766834</v>
      </c>
      <c r="J10" s="100">
        <f>VLOOKUP($B10,Education!$B$6:$H$40,6,FALSE)</f>
        <v>1211.5317479563087</v>
      </c>
      <c r="K10" s="133">
        <f>VLOOKUP($B10,Language!$B$6:$H$40,6,FALSE)</f>
        <v>37.104066508016743</v>
      </c>
      <c r="L10" s="192">
        <v>0</v>
      </c>
      <c r="M10" s="201">
        <v>0</v>
      </c>
      <c r="N10" s="146">
        <f t="shared" ref="N10:N43" si="0">SUM(D10:M10)</f>
        <v>219449.25873862451</v>
      </c>
      <c r="O10" s="101">
        <f t="shared" ref="O10:O43" si="1">N10/$N$44</f>
        <v>3.4337009370260332E-3</v>
      </c>
      <c r="P10" s="101">
        <f t="shared" ref="P10:P43" si="2">C10/$C$44</f>
        <v>3.3991124539703524E-4</v>
      </c>
      <c r="Q10" s="147">
        <f t="shared" ref="Q10:Q44" si="3">N10/C10</f>
        <v>152.39531856848924</v>
      </c>
      <c r="R10" s="102"/>
      <c r="T10" s="22"/>
      <c r="U10" s="22"/>
    </row>
    <row r="11" spans="2:21" x14ac:dyDescent="0.45">
      <c r="B11" s="98" t="s">
        <v>79</v>
      </c>
      <c r="C11" s="99">
        <f>VLOOKUP($B11,'County Data'!$B$10:$C$46,2,FALSE)</f>
        <v>7150</v>
      </c>
      <c r="D11" s="132">
        <f>VLOOKUP($B11,Floor!$B$6:$M$45,4,FALSE)</f>
        <v>190185.03123387095</v>
      </c>
      <c r="E11" s="100">
        <f>VLOOKUP($B11,Burden!$B$6:$H$40,6,FALSE)</f>
        <v>15456.009077582126</v>
      </c>
      <c r="F11" s="100">
        <f>VLOOKUP($B11,'Health Status'!$B$6:$H$40,6,FALSE)</f>
        <v>12980.754463882833</v>
      </c>
      <c r="G11" s="100">
        <f>VLOOKUP($B11,Ethnicity!$B$6:$H$40,6,FALSE)</f>
        <v>4645.5477551978811</v>
      </c>
      <c r="H11" s="100">
        <f>VLOOKUP($B11,Poverty!$B$6:$H$40,6,FALSE)</f>
        <v>7878.6997403242103</v>
      </c>
      <c r="I11" s="100">
        <f>VLOOKUP($B11,Rurality!$B$6:$H$40,6,FALSE)</f>
        <v>78726.549711168656</v>
      </c>
      <c r="J11" s="100">
        <f>VLOOKUP($B11,Education!$B$6:$H$40,6,FALSE)</f>
        <v>5695.8179922547697</v>
      </c>
      <c r="K11" s="133">
        <f>VLOOKUP($B11,Language!$B$6:$H$40,6,FALSE)</f>
        <v>2730.1406075544878</v>
      </c>
      <c r="L11" s="192">
        <v>0</v>
      </c>
      <c r="M11" s="201">
        <v>0</v>
      </c>
      <c r="N11" s="146">
        <f t="shared" si="0"/>
        <v>318298.55058183585</v>
      </c>
      <c r="O11" s="101">
        <f t="shared" si="1"/>
        <v>4.9803860704247301E-3</v>
      </c>
      <c r="P11" s="101">
        <f t="shared" si="2"/>
        <v>1.6877537531866679E-3</v>
      </c>
      <c r="Q11" s="147">
        <f t="shared" si="3"/>
        <v>44.517279801655363</v>
      </c>
      <c r="R11" s="102"/>
      <c r="T11" s="22"/>
      <c r="U11" s="22"/>
    </row>
    <row r="12" spans="2:21" x14ac:dyDescent="0.45">
      <c r="B12" s="98" t="s">
        <v>61</v>
      </c>
      <c r="C12" s="99">
        <f>VLOOKUP($B12,'County Data'!$B$10:$C$46,2,FALSE)</f>
        <v>7360</v>
      </c>
      <c r="D12" s="132">
        <f>VLOOKUP($B12,Floor!$B$6:$M$45,4,FALSE)</f>
        <v>190185.03123387095</v>
      </c>
      <c r="E12" s="100">
        <f>VLOOKUP($B12,Burden!$B$6:$H$40,6,FALSE)</f>
        <v>22397.517256775885</v>
      </c>
      <c r="F12" s="100">
        <f>VLOOKUP($B12,'Health Status'!$B$6:$H$40,6,FALSE)</f>
        <v>10940.704039245013</v>
      </c>
      <c r="G12" s="100">
        <f>VLOOKUP($B12,Ethnicity!$B$6:$H$40,6,FALSE)</f>
        <v>8800.0852678933225</v>
      </c>
      <c r="H12" s="100">
        <f>VLOOKUP($B12,Poverty!$B$6:$H$40,6,FALSE)</f>
        <v>8937.6586769574897</v>
      </c>
      <c r="I12" s="100">
        <f>VLOOKUP($B12,Rurality!$B$6:$H$40,6,FALSE)</f>
        <v>35900.187524793175</v>
      </c>
      <c r="J12" s="100">
        <f>VLOOKUP($B12,Education!$B$6:$H$40,6,FALSE)</f>
        <v>7986.10055675064</v>
      </c>
      <c r="K12" s="133">
        <f>VLOOKUP($B12,Language!$B$6:$H$40,6,FALSE)</f>
        <v>3906.601678477411</v>
      </c>
      <c r="L12" s="192">
        <v>0</v>
      </c>
      <c r="M12" s="201">
        <v>0</v>
      </c>
      <c r="N12" s="146">
        <f t="shared" si="0"/>
        <v>289053.88623476389</v>
      </c>
      <c r="O12" s="101">
        <f t="shared" si="1"/>
        <v>4.5227976878129883E-3</v>
      </c>
      <c r="P12" s="101">
        <f t="shared" si="2"/>
        <v>1.7373241431404023E-3</v>
      </c>
      <c r="Q12" s="147">
        <f t="shared" si="3"/>
        <v>39.273625847114658</v>
      </c>
      <c r="R12" s="102"/>
      <c r="T12" s="22"/>
      <c r="U12" s="22"/>
    </row>
    <row r="13" spans="2:21" x14ac:dyDescent="0.45">
      <c r="B13" s="98" t="s">
        <v>60</v>
      </c>
      <c r="C13" s="99">
        <f>VLOOKUP($B13,'County Data'!$B$10:$C$46,2,FALSE)</f>
        <v>7360</v>
      </c>
      <c r="D13" s="132">
        <f>VLOOKUP($B13,Floor!$B$6:$M$45,4,FALSE)</f>
        <v>190185.03123387095</v>
      </c>
      <c r="E13" s="100">
        <f>VLOOKUP($B13,Burden!$B$6:$H$40,6,FALSE)</f>
        <v>18547.488746624134</v>
      </c>
      <c r="F13" s="100">
        <f>VLOOKUP($B13,'Health Status'!$B$6:$H$40,6,FALSE)</f>
        <v>13900.074803958827</v>
      </c>
      <c r="G13" s="100">
        <f>VLOOKUP($B13,Ethnicity!$B$6:$H$40,6,FALSE)</f>
        <v>5148.6948260933141</v>
      </c>
      <c r="H13" s="100">
        <f>VLOOKUP($B13,Poverty!$B$6:$H$40,6,FALSE)</f>
        <v>8924.3958141051789</v>
      </c>
      <c r="I13" s="100">
        <f>VLOOKUP($B13,Rurality!$B$6:$H$40,6,FALSE)</f>
        <v>81038.79802436383</v>
      </c>
      <c r="J13" s="100">
        <f>VLOOKUP($B13,Education!$B$6:$H$40,6,FALSE)</f>
        <v>8775.0717509135902</v>
      </c>
      <c r="K13" s="133">
        <f>VLOOKUP($B13,Language!$B$6:$H$40,6,FALSE)</f>
        <v>1615.2295401396987</v>
      </c>
      <c r="L13" s="192">
        <v>0</v>
      </c>
      <c r="M13" s="201">
        <v>0</v>
      </c>
      <c r="N13" s="146">
        <f t="shared" si="0"/>
        <v>328134.78474006953</v>
      </c>
      <c r="O13" s="101">
        <f t="shared" si="1"/>
        <v>5.1342926574875821E-3</v>
      </c>
      <c r="P13" s="101">
        <f t="shared" si="2"/>
        <v>1.7373241431404023E-3</v>
      </c>
      <c r="Q13" s="147">
        <f t="shared" si="3"/>
        <v>44.583530535335534</v>
      </c>
      <c r="R13" s="102"/>
      <c r="T13" s="22"/>
      <c r="U13" s="22"/>
    </row>
    <row r="14" spans="2:21" x14ac:dyDescent="0.45">
      <c r="B14" s="98" t="s">
        <v>67</v>
      </c>
      <c r="C14" s="99">
        <f>VLOOKUP($B14,'County Data'!$B$10:$C$46,2,FALSE)</f>
        <v>8080</v>
      </c>
      <c r="D14" s="132">
        <f>VLOOKUP($B14,Floor!$B$6:$M$45,4,FALSE)</f>
        <v>190185.03123387095</v>
      </c>
      <c r="E14" s="100">
        <f>VLOOKUP($B14,Burden!$B$6:$H$40,6,FALSE)</f>
        <v>23889.873167629859</v>
      </c>
      <c r="F14" s="100">
        <f>VLOOKUP($B14,'Health Status'!$B$6:$H$40,6,FALSE)</f>
        <v>17622.682495145273</v>
      </c>
      <c r="G14" s="100">
        <f>VLOOKUP($B14,Ethnicity!$B$6:$H$40,6,FALSE)</f>
        <v>9513.2322206733061</v>
      </c>
      <c r="H14" s="100">
        <f>VLOOKUP($B14,Poverty!$B$6:$H$40,6,FALSE)</f>
        <v>11608.612197664468</v>
      </c>
      <c r="I14" s="100">
        <f>VLOOKUP($B14,Rurality!$B$6:$H$40,6,FALSE)</f>
        <v>56315.798631431011</v>
      </c>
      <c r="J14" s="100">
        <f>VLOOKUP($B14,Education!$B$6:$H$40,6,FALSE)</f>
        <v>11243.331949087751</v>
      </c>
      <c r="K14" s="133">
        <f>VLOOKUP($B14,Language!$B$6:$H$40,6,FALSE)</f>
        <v>5058.2376819431183</v>
      </c>
      <c r="L14" s="192">
        <v>0</v>
      </c>
      <c r="M14" s="201">
        <v>0</v>
      </c>
      <c r="N14" s="146">
        <f t="shared" si="0"/>
        <v>325436.79957744566</v>
      </c>
      <c r="O14" s="101">
        <f t="shared" si="1"/>
        <v>5.0920775493836267E-3</v>
      </c>
      <c r="P14" s="101">
        <f t="shared" si="2"/>
        <v>1.9072797658389198E-3</v>
      </c>
      <c r="Q14" s="147">
        <f t="shared" si="3"/>
        <v>40.276831630871989</v>
      </c>
      <c r="R14" s="102"/>
      <c r="T14" s="22"/>
      <c r="U14" s="22"/>
    </row>
    <row r="15" spans="2:21" x14ac:dyDescent="0.45">
      <c r="B15" s="98" t="s">
        <v>73</v>
      </c>
      <c r="C15" s="99">
        <f>VLOOKUP($B15,'County Data'!$B$10:$C$46,2,FALSE)</f>
        <v>12680</v>
      </c>
      <c r="D15" s="132">
        <f>VLOOKUP($B15,Floor!$B$6:$M$45,4,FALSE)</f>
        <v>190185.03123387095</v>
      </c>
      <c r="E15" s="100">
        <f>VLOOKUP($B15,Burden!$B$6:$H$40,6,FALSE)</f>
        <v>26824.856260056404</v>
      </c>
      <c r="F15" s="100">
        <f>VLOOKUP($B15,'Health Status'!$B$6:$H$40,6,FALSE)</f>
        <v>48203.821823658618</v>
      </c>
      <c r="G15" s="100">
        <f>VLOOKUP($B15,Ethnicity!$B$6:$H$40,6,FALSE)</f>
        <v>19021.832816960534</v>
      </c>
      <c r="H15" s="100">
        <f>VLOOKUP($B15,Poverty!$B$6:$H$40,6,FALSE)</f>
        <v>16392.137725166089</v>
      </c>
      <c r="I15" s="100">
        <f>VLOOKUP($B15,Rurality!$B$6:$H$40,6,FALSE)</f>
        <v>64083.631679016355</v>
      </c>
      <c r="J15" s="100">
        <f>VLOOKUP($B15,Education!$B$6:$H$40,6,FALSE)</f>
        <v>33241.668849506488</v>
      </c>
      <c r="K15" s="133">
        <f>VLOOKUP($B15,Language!$B$6:$H$40,6,FALSE)</f>
        <v>67741.629265137788</v>
      </c>
      <c r="L15" s="192">
        <v>0</v>
      </c>
      <c r="M15" s="201">
        <v>0</v>
      </c>
      <c r="N15" s="146">
        <f t="shared" si="0"/>
        <v>465694.60965337319</v>
      </c>
      <c r="O15" s="101">
        <f t="shared" si="1"/>
        <v>7.2866776890748997E-3</v>
      </c>
      <c r="P15" s="101">
        <f t="shared" si="2"/>
        <v>2.9931073553016714E-3</v>
      </c>
      <c r="Q15" s="147">
        <f t="shared" si="3"/>
        <v>36.72670423133858</v>
      </c>
      <c r="R15" s="102"/>
      <c r="T15" s="22"/>
      <c r="U15" s="22"/>
    </row>
    <row r="16" spans="2:21" x14ac:dyDescent="0.45">
      <c r="B16" s="98" t="s">
        <v>50</v>
      </c>
      <c r="C16" s="99">
        <f>VLOOKUP($B16,'County Data'!$B$10:$C$46,2,FALSE)</f>
        <v>16820</v>
      </c>
      <c r="D16" s="132">
        <f>VLOOKUP($B16,Floor!$B$6:$M$45,4,FALSE)</f>
        <v>190185.03123387095</v>
      </c>
      <c r="E16" s="100">
        <f>VLOOKUP($B16,Burden!$B$6:$H$40,6,FALSE)</f>
        <v>46107.434779322502</v>
      </c>
      <c r="F16" s="100">
        <f>VLOOKUP($B16,'Health Status'!$B$6:$H$40,6,FALSE)</f>
        <v>38734.274018486176</v>
      </c>
      <c r="G16" s="100">
        <f>VLOOKUP($B16,Ethnicity!$B$6:$H$40,6,FALSE)</f>
        <v>15627.744516647317</v>
      </c>
      <c r="H16" s="100">
        <f>VLOOKUP($B16,Poverty!$B$6:$H$40,6,FALSE)</f>
        <v>19741.849373048011</v>
      </c>
      <c r="I16" s="100">
        <f>VLOOKUP($B16,Rurality!$B$6:$H$40,6,FALSE)</f>
        <v>75932.032464078497</v>
      </c>
      <c r="J16" s="100">
        <f>VLOOKUP($B16,Education!$B$6:$H$40,6,FALSE)</f>
        <v>18554.477632629518</v>
      </c>
      <c r="K16" s="133">
        <f>VLOOKUP($B16,Language!$B$6:$H$40,6,FALSE)</f>
        <v>8063.4171299558784</v>
      </c>
      <c r="L16" s="192">
        <v>0</v>
      </c>
      <c r="M16" s="201">
        <v>0</v>
      </c>
      <c r="N16" s="146">
        <f t="shared" si="0"/>
        <v>412946.26114803884</v>
      </c>
      <c r="O16" s="101">
        <f t="shared" si="1"/>
        <v>6.4613294754130432E-3</v>
      </c>
      <c r="P16" s="101">
        <f t="shared" si="2"/>
        <v>3.9703521858181472E-3</v>
      </c>
      <c r="Q16" s="147">
        <f t="shared" si="3"/>
        <v>24.550907321524306</v>
      </c>
      <c r="R16" s="103">
        <f>SUM(N10:N16)/SUM(C10:C16)</f>
        <v>38.742226156579925</v>
      </c>
      <c r="T16" s="22"/>
      <c r="U16" s="22"/>
    </row>
    <row r="17" spans="1:21" x14ac:dyDescent="0.45">
      <c r="B17" s="104" t="s">
        <v>56</v>
      </c>
      <c r="C17" s="105">
        <f>VLOOKUP($B17,'County Data'!$B$10:$C$46,2,FALSE)</f>
        <v>23440</v>
      </c>
      <c r="D17" s="134">
        <f>VLOOKUP($B17,Floor!$B$6:$M$45,4,FALSE)</f>
        <v>285277.54685080645</v>
      </c>
      <c r="E17" s="106">
        <f>VLOOKUP($B17,Burden!$B$6:$H$40,6,FALSE)</f>
        <v>62292.649901988669</v>
      </c>
      <c r="F17" s="106">
        <f>VLOOKUP($B17,'Health Status'!$B$6:$H$40,6,FALSE)</f>
        <v>65689.063186450585</v>
      </c>
      <c r="G17" s="106">
        <f>VLOOKUP($B17,Ethnicity!$B$6:$H$40,6,FALSE)</f>
        <v>22251.517841901896</v>
      </c>
      <c r="H17" s="106">
        <f>VLOOKUP($B17,Poverty!$B$6:$H$40,6,FALSE)</f>
        <v>27750.21386683267</v>
      </c>
      <c r="I17" s="106">
        <f>VLOOKUP($B17,Rurality!$B$6:$H$40,6,FALSE)</f>
        <v>123883.65819724486</v>
      </c>
      <c r="J17" s="106">
        <f>VLOOKUP($B17,Education!$B$6:$H$40,6,FALSE)</f>
        <v>30958.35170371586</v>
      </c>
      <c r="K17" s="135">
        <f>VLOOKUP($B17,Language!$B$6:$H$40,6,FALSE)</f>
        <v>10539.555777530511</v>
      </c>
      <c r="L17" s="193">
        <v>0</v>
      </c>
      <c r="M17" s="197">
        <v>0</v>
      </c>
      <c r="N17" s="148">
        <f t="shared" si="0"/>
        <v>628642.55732647155</v>
      </c>
      <c r="O17" s="107">
        <f t="shared" si="1"/>
        <v>9.8363081769044253E-3</v>
      </c>
      <c r="P17" s="107">
        <f t="shared" si="2"/>
        <v>5.5329997167406289E-3</v>
      </c>
      <c r="Q17" s="149">
        <f t="shared" si="3"/>
        <v>26.819221728945031</v>
      </c>
      <c r="R17" s="102"/>
      <c r="T17" s="22"/>
      <c r="U17" s="22"/>
    </row>
    <row r="18" spans="1:21" x14ac:dyDescent="0.45">
      <c r="A18" s="40"/>
      <c r="B18" s="104" t="s">
        <v>57</v>
      </c>
      <c r="C18" s="105">
        <f>VLOOKUP($B18,'County Data'!$B$10:$C$46,2,FALSE)</f>
        <v>23000</v>
      </c>
      <c r="D18" s="134">
        <f>VLOOKUP($B18,Floor!$B$6:$M$45,4,FALSE)</f>
        <v>285277.54685080645</v>
      </c>
      <c r="E18" s="106">
        <f>VLOOKUP($B18,Burden!$B$6:$H$40,6,FALSE)</f>
        <v>72310.094508633527</v>
      </c>
      <c r="F18" s="106">
        <f>VLOOKUP($B18,'Health Status'!$B$6:$H$40,6,FALSE)</f>
        <v>57169.662500153245</v>
      </c>
      <c r="G18" s="106">
        <f>VLOOKUP($B18,Ethnicity!$B$6:$H$40,6,FALSE)</f>
        <v>28053.98202433647</v>
      </c>
      <c r="H18" s="106">
        <f>VLOOKUP($B18,Poverty!$B$6:$H$40,6,FALSE)</f>
        <v>24401.317688611431</v>
      </c>
      <c r="I18" s="106">
        <f>VLOOKUP($B18,Rurality!$B$6:$H$40,6,FALSE)</f>
        <v>98006.296360715001</v>
      </c>
      <c r="J18" s="106">
        <f>VLOOKUP($B18,Education!$B$6:$H$40,6,FALSE)</f>
        <v>26735.021701841153</v>
      </c>
      <c r="K18" s="135">
        <f>VLOOKUP($B18,Language!$B$6:$H$40,6,FALSE)</f>
        <v>10544.825923239914</v>
      </c>
      <c r="L18" s="193">
        <v>0</v>
      </c>
      <c r="M18" s="197">
        <v>0</v>
      </c>
      <c r="N18" s="148">
        <f t="shared" si="0"/>
        <v>602498.74755833729</v>
      </c>
      <c r="O18" s="107">
        <f t="shared" si="1"/>
        <v>9.4272385604734395E-3</v>
      </c>
      <c r="P18" s="107">
        <f t="shared" si="2"/>
        <v>5.4291379473137566E-3</v>
      </c>
      <c r="Q18" s="149">
        <f t="shared" si="3"/>
        <v>26.195597719927708</v>
      </c>
      <c r="R18" s="102"/>
      <c r="T18" s="22"/>
      <c r="U18" s="22"/>
    </row>
    <row r="19" spans="1:21" x14ac:dyDescent="0.45">
      <c r="A19" s="40"/>
      <c r="B19" s="104" t="s">
        <v>64</v>
      </c>
      <c r="C19" s="105">
        <f>VLOOKUP($B19,'County Data'!$B$10:$C$46,2,FALSE)</f>
        <v>23840</v>
      </c>
      <c r="D19" s="134">
        <f>VLOOKUP($B19,Floor!$B$6:$M$45,4,FALSE)</f>
        <v>285277.54685080645</v>
      </c>
      <c r="E19" s="106">
        <f>VLOOKUP($B19,Burden!$B$6:$H$40,6,FALSE)</f>
        <v>65101.385681093707</v>
      </c>
      <c r="F19" s="106">
        <f>VLOOKUP($B19,'Health Status'!$B$6:$H$40,6,FALSE)</f>
        <v>39795.543755008621</v>
      </c>
      <c r="G19" s="106">
        <f>VLOOKUP($B19,Ethnicity!$B$6:$H$40,6,FALSE)</f>
        <v>90719.159376098716</v>
      </c>
      <c r="H19" s="106">
        <f>VLOOKUP($B19,Poverty!$B$6:$H$40,6,FALSE)</f>
        <v>31839.821664314211</v>
      </c>
      <c r="I19" s="106">
        <f>VLOOKUP($B19,Rurality!$B$6:$H$40,6,FALSE)</f>
        <v>165634.49459679701</v>
      </c>
      <c r="J19" s="106">
        <f>VLOOKUP($B19,Education!$B$6:$H$40,6,FALSE)</f>
        <v>35451.835049393281</v>
      </c>
      <c r="K19" s="135">
        <f>VLOOKUP($B19,Language!$B$6:$H$40,6,FALSE)</f>
        <v>41269.122239213837</v>
      </c>
      <c r="L19" s="193">
        <v>0</v>
      </c>
      <c r="M19" s="197">
        <v>0</v>
      </c>
      <c r="N19" s="148">
        <f t="shared" si="0"/>
        <v>755088.9092127257</v>
      </c>
      <c r="O19" s="107">
        <f t="shared" si="1"/>
        <v>1.1814801790649022E-2</v>
      </c>
      <c r="P19" s="107">
        <f t="shared" si="2"/>
        <v>5.6274195071286939E-3</v>
      </c>
      <c r="Q19" s="149">
        <f t="shared" si="3"/>
        <v>31.673192500533798</v>
      </c>
      <c r="R19" s="102"/>
      <c r="T19" s="22"/>
      <c r="U19" s="22"/>
    </row>
    <row r="20" spans="1:21" x14ac:dyDescent="0.45">
      <c r="B20" s="104" t="s">
        <v>62</v>
      </c>
      <c r="C20" s="105">
        <f>VLOOKUP($B20,'County Data'!$B$10:$C$46,2,FALSE)</f>
        <v>25480</v>
      </c>
      <c r="D20" s="134">
        <f>VLOOKUP($B20,Floor!$B$6:$M$45,4,FALSE)</f>
        <v>285277.54685080645</v>
      </c>
      <c r="E20" s="106">
        <f>VLOOKUP($B20,Burden!$B$6:$H$40,6,FALSE)</f>
        <v>38452.877214072418</v>
      </c>
      <c r="F20" s="106">
        <f>VLOOKUP($B20,'Health Status'!$B$6:$H$40,6,FALSE)</f>
        <v>50915.603598175687</v>
      </c>
      <c r="G20" s="106">
        <f>VLOOKUP($B20,Ethnicity!$B$6:$H$40,6,FALSE)</f>
        <v>44918.841733773872</v>
      </c>
      <c r="H20" s="106">
        <f>VLOOKUP($B20,Poverty!$B$6:$H$40,6,FALSE)</f>
        <v>23221.398397233905</v>
      </c>
      <c r="I20" s="106">
        <f>VLOOKUP($B20,Rurality!$B$6:$H$40,6,FALSE)</f>
        <v>146448.55916452888</v>
      </c>
      <c r="J20" s="106">
        <f>VLOOKUP($B20,Education!$B$6:$H$40,6,FALSE)</f>
        <v>51257.470147457803</v>
      </c>
      <c r="K20" s="135">
        <f>VLOOKUP($B20,Language!$B$6:$H$40,6,FALSE)</f>
        <v>137716.71018209137</v>
      </c>
      <c r="L20" s="193">
        <v>0</v>
      </c>
      <c r="M20" s="197">
        <v>0</v>
      </c>
      <c r="N20" s="148">
        <f t="shared" si="0"/>
        <v>778209.00728814036</v>
      </c>
      <c r="O20" s="107">
        <f t="shared" si="1"/>
        <v>1.2176559688041785E-2</v>
      </c>
      <c r="P20" s="107">
        <f t="shared" si="2"/>
        <v>6.014540647719762E-3</v>
      </c>
      <c r="Q20" s="149">
        <f t="shared" si="3"/>
        <v>30.541954760131098</v>
      </c>
      <c r="R20" s="102"/>
      <c r="T20" s="22"/>
      <c r="U20" s="22"/>
    </row>
    <row r="21" spans="1:21" x14ac:dyDescent="0.45">
      <c r="B21" s="104" t="s">
        <v>76</v>
      </c>
      <c r="C21" s="105">
        <f>VLOOKUP($B21,'County Data'!$B$10:$C$46,2,FALSE)</f>
        <v>26500</v>
      </c>
      <c r="D21" s="134">
        <f>VLOOKUP($B21,Floor!$B$6:$M$45,4,FALSE)</f>
        <v>285277.54685080645</v>
      </c>
      <c r="E21" s="106">
        <f>VLOOKUP($B21,Burden!$B$6:$H$40,6,FALSE)</f>
        <v>69210.358614192737</v>
      </c>
      <c r="F21" s="106">
        <f>VLOOKUP($B21,'Health Status'!$B$6:$H$40,6,FALSE)</f>
        <v>54568.272273430586</v>
      </c>
      <c r="G21" s="106">
        <f>VLOOKUP($B21,Ethnicity!$B$6:$H$40,6,FALSE)</f>
        <v>26174.562376998427</v>
      </c>
      <c r="H21" s="106">
        <f>VLOOKUP($B21,Poverty!$B$6:$H$40,6,FALSE)</f>
        <v>29663.89606235579</v>
      </c>
      <c r="I21" s="106">
        <f>VLOOKUP($B21,Rurality!$B$6:$H$40,6,FALSE)</f>
        <v>203081.46613605518</v>
      </c>
      <c r="J21" s="106">
        <f>VLOOKUP($B21,Education!$B$6:$H$40,6,FALSE)</f>
        <v>27246.221825998757</v>
      </c>
      <c r="K21" s="135">
        <f>VLOOKUP($B21,Language!$B$6:$H$40,6,FALSE)</f>
        <v>29100.668803331428</v>
      </c>
      <c r="L21" s="193">
        <v>0</v>
      </c>
      <c r="M21" s="197">
        <v>0</v>
      </c>
      <c r="N21" s="148">
        <f t="shared" si="0"/>
        <v>724322.99294316932</v>
      </c>
      <c r="O21" s="107">
        <f t="shared" si="1"/>
        <v>1.1333410529040506E-2</v>
      </c>
      <c r="P21" s="107">
        <f t="shared" si="2"/>
        <v>6.2553111132093286E-3</v>
      </c>
      <c r="Q21" s="149">
        <f t="shared" si="3"/>
        <v>27.332943129930918</v>
      </c>
      <c r="R21" s="102"/>
      <c r="T21" s="22"/>
      <c r="U21" s="22"/>
    </row>
    <row r="22" spans="1:21" x14ac:dyDescent="0.45">
      <c r="B22" s="104" t="s">
        <v>78</v>
      </c>
      <c r="C22" s="105">
        <f>VLOOKUP($B22,'County Data'!$B$10:$C$46,2,FALSE)</f>
        <v>26840</v>
      </c>
      <c r="D22" s="134">
        <f>VLOOKUP($B22,Floor!$B$6:$M$45,4,FALSE)</f>
        <v>285277.54685080645</v>
      </c>
      <c r="E22" s="106">
        <f>VLOOKUP($B22,Burden!$B$6:$H$40,6,FALSE)</f>
        <v>66393.43523447818</v>
      </c>
      <c r="F22" s="106">
        <f>VLOOKUP($B22,'Health Status'!$B$6:$H$40,6,FALSE)</f>
        <v>34665.382906955667</v>
      </c>
      <c r="G22" s="106">
        <f>VLOOKUP($B22,Ethnicity!$B$6:$H$40,6,FALSE)</f>
        <v>28037.806249153829</v>
      </c>
      <c r="H22" s="106">
        <f>VLOOKUP($B22,Poverty!$B$6:$H$40,6,FALSE)</f>
        <v>35979.203189348686</v>
      </c>
      <c r="I22" s="106">
        <f>VLOOKUP($B22,Rurality!$B$6:$H$40,6,FALSE)</f>
        <v>124417.01680815521</v>
      </c>
      <c r="J22" s="106">
        <f>VLOOKUP($B22,Education!$B$6:$H$40,6,FALSE)</f>
        <v>21921.459929913653</v>
      </c>
      <c r="K22" s="135">
        <f>VLOOKUP($B22,Language!$B$6:$H$40,6,FALSE)</f>
        <v>15093.290869471122</v>
      </c>
      <c r="L22" s="193">
        <v>0</v>
      </c>
      <c r="M22" s="197">
        <v>0</v>
      </c>
      <c r="N22" s="148">
        <f t="shared" si="0"/>
        <v>611785.14203828282</v>
      </c>
      <c r="O22" s="107">
        <f t="shared" si="1"/>
        <v>9.5725418602460813E-3</v>
      </c>
      <c r="P22" s="107">
        <f t="shared" si="2"/>
        <v>6.3355679350391844E-3</v>
      </c>
      <c r="Q22" s="149">
        <f t="shared" si="3"/>
        <v>22.793783235405471</v>
      </c>
      <c r="R22" s="102"/>
      <c r="T22" s="22"/>
      <c r="U22" s="22"/>
    </row>
    <row r="23" spans="1:21" x14ac:dyDescent="0.45">
      <c r="B23" s="108" t="s">
        <v>85</v>
      </c>
      <c r="C23" s="105">
        <f>VLOOKUP($B23,'County Data'!$B$10:$C$46,2,FALSE)</f>
        <v>31000</v>
      </c>
      <c r="D23" s="134">
        <f>VLOOKUP($B23,Floor!$B$6:$M$45,4,FALSE)</f>
        <v>665647.60931854835</v>
      </c>
      <c r="E23" s="106">
        <f>VLOOKUP($B23,Burden!$B$6:$H$40,6,FALSE)</f>
        <v>80420.908985103451</v>
      </c>
      <c r="F23" s="106">
        <f>VLOOKUP($B23,'Health Status'!$B$6:$H$40,6,FALSE)</f>
        <v>52125.280514845603</v>
      </c>
      <c r="G23" s="106">
        <f>VLOOKUP($B23,Ethnicity!$B$6:$H$40,6,FALSE)</f>
        <v>48775.649896522104</v>
      </c>
      <c r="H23" s="106">
        <f>VLOOKUP($B23,Poverty!$B$6:$H$40,6,FALSE)</f>
        <v>32541.968565291383</v>
      </c>
      <c r="I23" s="106">
        <f>VLOOKUP($B23,Rurality!$B$6:$H$40,6,FALSE)</f>
        <v>141652.73594883701</v>
      </c>
      <c r="J23" s="106">
        <f>VLOOKUP($B23,Education!$B$6:$H$40,6,FALSE)</f>
        <v>44488.972402800006</v>
      </c>
      <c r="K23" s="135">
        <f>VLOOKUP($B23,Language!$B$6:$H$40,6,FALSE)</f>
        <v>59085.449126522042</v>
      </c>
      <c r="L23" s="193">
        <v>0</v>
      </c>
      <c r="M23" s="197">
        <v>0</v>
      </c>
      <c r="N23" s="148">
        <f t="shared" si="0"/>
        <v>1124738.5747584701</v>
      </c>
      <c r="O23" s="107">
        <f t="shared" si="1"/>
        <v>1.7598673699132178E-2</v>
      </c>
      <c r="P23" s="107">
        <f t="shared" si="2"/>
        <v>7.3175337550750634E-3</v>
      </c>
      <c r="Q23" s="149">
        <f t="shared" si="3"/>
        <v>36.281889508337741</v>
      </c>
      <c r="R23" s="102"/>
      <c r="T23" s="22"/>
      <c r="U23" s="22"/>
    </row>
    <row r="24" spans="1:21" x14ac:dyDescent="0.45">
      <c r="B24" s="104" t="s">
        <v>71</v>
      </c>
      <c r="C24" s="105">
        <f>VLOOKUP($B24,'County Data'!$B$10:$C$46,2,FALSE)</f>
        <v>32030</v>
      </c>
      <c r="D24" s="134">
        <f>VLOOKUP($B24,Floor!$B$6:$M$45,4,FALSE)</f>
        <v>285277.54685080645</v>
      </c>
      <c r="E24" s="106">
        <f>VLOOKUP($B24,Burden!$B$6:$H$40,6,FALSE)</f>
        <v>78645.240406024182</v>
      </c>
      <c r="F24" s="106">
        <f>VLOOKUP($B24,'Health Status'!$B$6:$H$40,6,FALSE)</f>
        <v>105763.02271045507</v>
      </c>
      <c r="G24" s="106">
        <f>VLOOKUP($B24,Ethnicity!$B$6:$H$40,6,FALSE)</f>
        <v>46035.642044056636</v>
      </c>
      <c r="H24" s="106">
        <f>VLOOKUP($B24,Poverty!$B$6:$H$40,6,FALSE)</f>
        <v>51477.364600705383</v>
      </c>
      <c r="I24" s="106">
        <f>VLOOKUP($B24,Rurality!$B$6:$H$40,6,FALSE)</f>
        <v>170693.69390606802</v>
      </c>
      <c r="J24" s="106">
        <f>VLOOKUP($B24,Education!$B$6:$H$40,6,FALSE)</f>
        <v>64981.411998200521</v>
      </c>
      <c r="K24" s="135">
        <f>VLOOKUP($B24,Language!$B$6:$H$40,6,FALSE)</f>
        <v>87700.245028061036</v>
      </c>
      <c r="L24" s="193">
        <v>0</v>
      </c>
      <c r="M24" s="197">
        <v>0</v>
      </c>
      <c r="N24" s="148">
        <f t="shared" si="0"/>
        <v>890574.16754437727</v>
      </c>
      <c r="O24" s="107">
        <f t="shared" si="1"/>
        <v>1.3934726283265798E-2</v>
      </c>
      <c r="P24" s="107">
        <f t="shared" si="2"/>
        <v>7.5606647153243318E-3</v>
      </c>
      <c r="Q24" s="149">
        <f t="shared" si="3"/>
        <v>27.804376133136973</v>
      </c>
      <c r="R24" s="102"/>
      <c r="T24" s="22"/>
      <c r="U24" s="22"/>
    </row>
    <row r="25" spans="1:21" x14ac:dyDescent="0.45">
      <c r="B25" s="104" t="s">
        <v>53</v>
      </c>
      <c r="C25" s="105">
        <f>VLOOKUP($B25,'County Data'!$B$10:$C$46,2,FALSE)</f>
        <v>39330</v>
      </c>
      <c r="D25" s="134">
        <f>VLOOKUP($B25,Floor!$B$6:$M$45,4,FALSE)</f>
        <v>285277.54685080645</v>
      </c>
      <c r="E25" s="106">
        <f>VLOOKUP($B25,Burden!$B$6:$H$40,6,FALSE)</f>
        <v>102190.18517400576</v>
      </c>
      <c r="F25" s="106">
        <f>VLOOKUP($B25,'Health Status'!$B$6:$H$40,6,FALSE)</f>
        <v>71882.443290633848</v>
      </c>
      <c r="G25" s="106">
        <f>VLOOKUP($B25,Ethnicity!$B$6:$H$40,6,FALSE)</f>
        <v>45507.405921328806</v>
      </c>
      <c r="H25" s="106">
        <f>VLOOKUP($B25,Poverty!$B$6:$H$40,6,FALSE)</f>
        <v>39709.41641909282</v>
      </c>
      <c r="I25" s="106">
        <f>VLOOKUP($B25,Rurality!$B$6:$H$40,6,FALSE)</f>
        <v>168889.92000765074</v>
      </c>
      <c r="J25" s="106">
        <f>VLOOKUP($B25,Education!$B$6:$H$40,6,FALSE)</f>
        <v>35236.295860012695</v>
      </c>
      <c r="K25" s="135">
        <f>VLOOKUP($B25,Language!$B$6:$H$40,6,FALSE)</f>
        <v>42133.685193814956</v>
      </c>
      <c r="L25" s="193">
        <v>0</v>
      </c>
      <c r="M25" s="197">
        <v>0</v>
      </c>
      <c r="N25" s="148">
        <f t="shared" si="0"/>
        <v>790826.89871734602</v>
      </c>
      <c r="O25" s="107">
        <f t="shared" si="1"/>
        <v>1.2373990592446706E-2</v>
      </c>
      <c r="P25" s="107">
        <f t="shared" si="2"/>
        <v>9.2838258899065242E-3</v>
      </c>
      <c r="Q25" s="149">
        <f t="shared" si="3"/>
        <v>20.107472634562573</v>
      </c>
      <c r="R25" s="102"/>
      <c r="T25" s="22"/>
      <c r="U25" s="22"/>
    </row>
    <row r="26" spans="1:21" x14ac:dyDescent="0.45">
      <c r="B26" s="104" t="s">
        <v>69</v>
      </c>
      <c r="C26" s="105">
        <f>VLOOKUP($B26,'County Data'!$B$10:$C$46,2,FALSE)</f>
        <v>48260</v>
      </c>
      <c r="D26" s="134">
        <f>VLOOKUP($B26,Floor!$B$6:$M$45,4,FALSE)</f>
        <v>285277.54685080645</v>
      </c>
      <c r="E26" s="106">
        <f>VLOOKUP($B26,Burden!$B$6:$H$40,6,FALSE)</f>
        <v>149953.67893626294</v>
      </c>
      <c r="F26" s="106">
        <f>VLOOKUP($B26,'Health Status'!$B$6:$H$40,6,FALSE)</f>
        <v>125249.0804157769</v>
      </c>
      <c r="G26" s="106">
        <f>VLOOKUP($B26,Ethnicity!$B$6:$H$40,6,FALSE)</f>
        <v>75001.875657953075</v>
      </c>
      <c r="H26" s="106">
        <f>VLOOKUP($B26,Poverty!$B$6:$H$40,6,FALSE)</f>
        <v>59667.01892932706</v>
      </c>
      <c r="I26" s="106">
        <f>VLOOKUP($B26,Rurality!$B$6:$H$40,6,FALSE)</f>
        <v>199797.6331030679</v>
      </c>
      <c r="J26" s="106">
        <f>VLOOKUP($B26,Education!$B$6:$H$40,6,FALSE)</f>
        <v>48247.289193767399</v>
      </c>
      <c r="K26" s="135">
        <f>VLOOKUP($B26,Language!$B$6:$H$40,6,FALSE)</f>
        <v>33366.146590676079</v>
      </c>
      <c r="L26" s="193">
        <v>0</v>
      </c>
      <c r="M26" s="197">
        <v>0</v>
      </c>
      <c r="N26" s="148">
        <f t="shared" si="0"/>
        <v>976560.26967763773</v>
      </c>
      <c r="O26" s="107">
        <f t="shared" si="1"/>
        <v>1.5280142354221187E-2</v>
      </c>
      <c r="P26" s="107">
        <f t="shared" si="2"/>
        <v>1.1391747710320083E-2</v>
      </c>
      <c r="Q26" s="149">
        <f t="shared" si="3"/>
        <v>20.235397216693695</v>
      </c>
      <c r="R26" s="102"/>
      <c r="T26" s="22"/>
      <c r="U26" s="22"/>
    </row>
    <row r="27" spans="1:21" x14ac:dyDescent="0.45">
      <c r="B27" s="104" t="s">
        <v>54</v>
      </c>
      <c r="C27" s="105">
        <f>VLOOKUP($B27,'County Data'!$B$10:$C$46,2,FALSE)</f>
        <v>52750</v>
      </c>
      <c r="D27" s="134">
        <f>VLOOKUP($B27,Floor!$B$6:$M$45,4,FALSE)</f>
        <v>285277.54685080645</v>
      </c>
      <c r="E27" s="106">
        <f>VLOOKUP($B27,Burden!$B$6:$H$40,6,FALSE)</f>
        <v>120489.3112915278</v>
      </c>
      <c r="F27" s="106">
        <f>VLOOKUP($B27,'Health Status'!$B$6:$H$40,6,FALSE)</f>
        <v>131760.11037106396</v>
      </c>
      <c r="G27" s="106">
        <f>VLOOKUP($B27,Ethnicity!$B$6:$H$40,6,FALSE)</f>
        <v>49710.02454425444</v>
      </c>
      <c r="H27" s="106">
        <f>VLOOKUP($B27,Poverty!$B$6:$H$40,6,FALSE)</f>
        <v>48848.846091320098</v>
      </c>
      <c r="I27" s="106">
        <f>VLOOKUP($B27,Rurality!$B$6:$H$40,6,FALSE)</f>
        <v>253235.23311988363</v>
      </c>
      <c r="J27" s="106">
        <f>VLOOKUP($B27,Education!$B$6:$H$40,6,FALSE)</f>
        <v>53701.668626387989</v>
      </c>
      <c r="K27" s="135">
        <f>VLOOKUP($B27,Language!$B$6:$H$40,6,FALSE)</f>
        <v>24872.206702418116</v>
      </c>
      <c r="L27" s="193">
        <v>0</v>
      </c>
      <c r="M27" s="197">
        <v>0</v>
      </c>
      <c r="N27" s="148">
        <f t="shared" si="0"/>
        <v>967894.94759766234</v>
      </c>
      <c r="O27" s="107">
        <f t="shared" si="1"/>
        <v>1.514455691311891E-2</v>
      </c>
      <c r="P27" s="107">
        <f t="shared" si="2"/>
        <v>1.2451609857426117E-2</v>
      </c>
      <c r="Q27" s="149">
        <f t="shared" si="3"/>
        <v>18.348719385737674</v>
      </c>
      <c r="R27" s="102"/>
      <c r="T27" s="22"/>
      <c r="U27" s="22"/>
    </row>
    <row r="28" spans="1:21" x14ac:dyDescent="0.45">
      <c r="B28" s="104" t="s">
        <v>55</v>
      </c>
      <c r="C28" s="105">
        <f>VLOOKUP($B28,'County Data'!$B$10:$C$46,2,FALSE)</f>
        <v>63290</v>
      </c>
      <c r="D28" s="134">
        <f>VLOOKUP($B28,Floor!$B$6:$M$45,4,FALSE)</f>
        <v>285277.54685080645</v>
      </c>
      <c r="E28" s="106">
        <f>VLOOKUP($B28,Burden!$B$6:$H$40,6,FALSE)</f>
        <v>197854.9857982563</v>
      </c>
      <c r="F28" s="106">
        <f>VLOOKUP($B28,'Health Status'!$B$6:$H$40,6,FALSE)</f>
        <v>165027.56587421685</v>
      </c>
      <c r="G28" s="106">
        <f>VLOOKUP($B28,Ethnicity!$B$6:$H$40,6,FALSE)</f>
        <v>97273.369734131804</v>
      </c>
      <c r="H28" s="106">
        <f>VLOOKUP($B28,Poverty!$B$6:$H$40,6,FALSE)</f>
        <v>83246.546448601483</v>
      </c>
      <c r="I28" s="106">
        <f>VLOOKUP($B28,Rurality!$B$6:$H$40,6,FALSE)</f>
        <v>267597.15792845143</v>
      </c>
      <c r="J28" s="106">
        <f>VLOOKUP($B28,Education!$B$6:$H$40,6,FALSE)</f>
        <v>74954.105512703332</v>
      </c>
      <c r="K28" s="135">
        <f>VLOOKUP($B28,Language!$B$6:$H$40,6,FALSE)</f>
        <v>32775.811558436268</v>
      </c>
      <c r="L28" s="193">
        <v>0</v>
      </c>
      <c r="M28" s="197">
        <v>0</v>
      </c>
      <c r="N28" s="148">
        <f t="shared" si="0"/>
        <v>1204007.0897056041</v>
      </c>
      <c r="O28" s="107">
        <f t="shared" si="1"/>
        <v>1.8838980345028952E-2</v>
      </c>
      <c r="P28" s="107">
        <f t="shared" si="2"/>
        <v>1.4939571334151637E-2</v>
      </c>
      <c r="Q28" s="149">
        <f t="shared" si="3"/>
        <v>19.023654443128521</v>
      </c>
      <c r="R28" s="102"/>
      <c r="T28" s="22"/>
      <c r="U28" s="22"/>
    </row>
    <row r="29" spans="1:21" x14ac:dyDescent="0.45">
      <c r="B29" s="104" t="s">
        <v>66</v>
      </c>
      <c r="C29" s="105">
        <f>VLOOKUP($B29,'County Data'!$B$10:$C$46,2,FALSE)</f>
        <v>68190</v>
      </c>
      <c r="D29" s="134">
        <f>VLOOKUP($B29,Floor!$B$6:$M$45,4,FALSE)</f>
        <v>285277.54685080645</v>
      </c>
      <c r="E29" s="106">
        <f>VLOOKUP($B29,Burden!$B$6:$H$40,6,FALSE)</f>
        <v>209730.69864743616</v>
      </c>
      <c r="F29" s="106">
        <f>VLOOKUP($B29,'Health Status'!$B$6:$H$40,6,FALSE)</f>
        <v>144569.79448935809</v>
      </c>
      <c r="G29" s="106">
        <f>VLOOKUP($B29,Ethnicity!$B$6:$H$40,6,FALSE)</f>
        <v>107688.94608347968</v>
      </c>
      <c r="H29" s="106">
        <f>VLOOKUP($B29,Poverty!$B$6:$H$40,6,FALSE)</f>
        <v>99617.448095074884</v>
      </c>
      <c r="I29" s="106">
        <f>VLOOKUP($B29,Rurality!$B$6:$H$40,6,FALSE)</f>
        <v>282308.3423393743</v>
      </c>
      <c r="J29" s="106">
        <f>VLOOKUP($B29,Education!$B$6:$H$40,6,FALSE)</f>
        <v>91208.914944653836</v>
      </c>
      <c r="K29" s="135">
        <f>VLOOKUP($B29,Language!$B$6:$H$40,6,FALSE)</f>
        <v>79720.32528584743</v>
      </c>
      <c r="L29" s="193">
        <v>0</v>
      </c>
      <c r="M29" s="197">
        <v>0</v>
      </c>
      <c r="N29" s="148">
        <f t="shared" si="0"/>
        <v>1300122.0167360308</v>
      </c>
      <c r="O29" s="107">
        <f t="shared" si="1"/>
        <v>2.0342881141520806E-2</v>
      </c>
      <c r="P29" s="107">
        <f t="shared" si="2"/>
        <v>1.6096213766405437E-2</v>
      </c>
      <c r="Q29" s="149">
        <f t="shared" si="3"/>
        <v>19.066168305265155</v>
      </c>
      <c r="R29" s="109">
        <f>SUM(N17:N29)/SUM(C17:C29)</f>
        <v>23.463728321322975</v>
      </c>
      <c r="T29" s="22"/>
      <c r="U29" s="22"/>
    </row>
    <row r="30" spans="1:21" x14ac:dyDescent="0.45">
      <c r="A30" s="40"/>
      <c r="B30" s="110" t="s">
        <v>77</v>
      </c>
      <c r="C30" s="111">
        <f>VLOOKUP($B30,'County Data'!$B$10:$C$46,2,FALSE)</f>
        <v>81160</v>
      </c>
      <c r="D30" s="136">
        <f>VLOOKUP($B30,Floor!$B$6:$M$45,4,FALSE)</f>
        <v>380370.0624677419</v>
      </c>
      <c r="E30" s="112">
        <f>VLOOKUP($B30,Burden!$B$6:$H$40,6,FALSE)</f>
        <v>182684.8548074009</v>
      </c>
      <c r="F30" s="112">
        <f>VLOOKUP($B30,'Health Status'!$B$6:$H$40,6,FALSE)</f>
        <v>181956.4630789191</v>
      </c>
      <c r="G30" s="112">
        <f>VLOOKUP($B30,Ethnicity!$B$6:$H$40,6,FALSE)</f>
        <v>154964.01216954514</v>
      </c>
      <c r="H30" s="112">
        <f>VLOOKUP($B30,Poverty!$B$6:$H$40,6,FALSE)</f>
        <v>105258.77569921847</v>
      </c>
      <c r="I30" s="112">
        <f>VLOOKUP($B30,Rurality!$B$6:$H$40,6,FALSE)</f>
        <v>260046.01557993121</v>
      </c>
      <c r="J30" s="112">
        <f>VLOOKUP($B30,Education!$B$6:$H$40,6,FALSE)</f>
        <v>153593.41730325879</v>
      </c>
      <c r="K30" s="137">
        <f>VLOOKUP($B30,Language!$B$6:$H$40,6,FALSE)</f>
        <v>298580.71874965623</v>
      </c>
      <c r="L30" s="194">
        <v>0</v>
      </c>
      <c r="M30" s="198">
        <v>0</v>
      </c>
      <c r="N30" s="150">
        <f t="shared" si="0"/>
        <v>1717454.3198556718</v>
      </c>
      <c r="O30" s="113">
        <f t="shared" si="1"/>
        <v>2.6872838583664255E-2</v>
      </c>
      <c r="P30" s="113">
        <f t="shared" si="2"/>
        <v>1.9157775469738458E-2</v>
      </c>
      <c r="Q30" s="151">
        <f t="shared" si="3"/>
        <v>21.161339574367567</v>
      </c>
      <c r="R30" s="102"/>
      <c r="T30" s="22"/>
      <c r="U30" s="22"/>
    </row>
    <row r="31" spans="1:21" x14ac:dyDescent="0.45">
      <c r="A31" s="40"/>
      <c r="B31" s="110" t="s">
        <v>75</v>
      </c>
      <c r="C31" s="111">
        <f>VLOOKUP($B31,'County Data'!$B$10:$C$46,2,FALSE)</f>
        <v>82940</v>
      </c>
      <c r="D31" s="136">
        <f>VLOOKUP($B31,Floor!$B$6:$M$45,4,FALSE)</f>
        <v>380370.0624677419</v>
      </c>
      <c r="E31" s="112">
        <f>VLOOKUP($B31,Burden!$B$6:$H$40,6,FALSE)</f>
        <v>158281.08820890088</v>
      </c>
      <c r="F31" s="112">
        <f>VLOOKUP($B31,'Health Status'!$B$6:$H$40,6,FALSE)</f>
        <v>184936.54748946632</v>
      </c>
      <c r="G31" s="112">
        <f>VLOOKUP($B31,Ethnicity!$B$6:$H$40,6,FALSE)</f>
        <v>131131.49880275081</v>
      </c>
      <c r="H31" s="112">
        <f>VLOOKUP($B31,Poverty!$B$6:$H$40,6,FALSE)</f>
        <v>85637.511652731482</v>
      </c>
      <c r="I31" s="112">
        <f>VLOOKUP($B31,Rurality!$B$6:$H$40,6,FALSE)</f>
        <v>181732.36735326174</v>
      </c>
      <c r="J31" s="112">
        <f>VLOOKUP($B31,Education!$B$6:$H$40,6,FALSE)</f>
        <v>84246.543166734424</v>
      </c>
      <c r="K31" s="137">
        <f>VLOOKUP($B31,Language!$B$6:$H$40,6,FALSE)</f>
        <v>148380.42006343429</v>
      </c>
      <c r="L31" s="194">
        <v>0</v>
      </c>
      <c r="M31" s="198">
        <v>0</v>
      </c>
      <c r="N31" s="150">
        <f t="shared" si="0"/>
        <v>1354716.0392050222</v>
      </c>
      <c r="O31" s="113">
        <f t="shared" si="1"/>
        <v>2.1197108433904009E-2</v>
      </c>
      <c r="P31" s="113">
        <f t="shared" si="2"/>
        <v>1.9577943536965348E-2</v>
      </c>
      <c r="Q31" s="151">
        <f t="shared" si="3"/>
        <v>16.33368747534389</v>
      </c>
      <c r="R31" s="102"/>
      <c r="T31" s="22"/>
      <c r="U31" s="22"/>
    </row>
    <row r="32" spans="1:21" x14ac:dyDescent="0.45">
      <c r="B32" s="110" t="s">
        <v>65</v>
      </c>
      <c r="C32" s="111">
        <f>VLOOKUP($B32,'County Data'!$B$10:$C$46,2,FALSE)</f>
        <v>86750</v>
      </c>
      <c r="D32" s="136">
        <f>VLOOKUP($B32,Floor!$B$6:$M$45,4,FALSE)</f>
        <v>380370.0624677419</v>
      </c>
      <c r="E32" s="112">
        <f>VLOOKUP($B32,Burden!$B$6:$H$40,6,FALSE)</f>
        <v>273385.87883939932</v>
      </c>
      <c r="F32" s="112">
        <f>VLOOKUP($B32,'Health Status'!$B$6:$H$40,6,FALSE)</f>
        <v>230427.12539890199</v>
      </c>
      <c r="G32" s="112">
        <f>VLOOKUP($B32,Ethnicity!$B$6:$H$40,6,FALSE)</f>
        <v>90709.169484360711</v>
      </c>
      <c r="H32" s="112">
        <f>VLOOKUP($B32,Poverty!$B$6:$H$40,6,FALSE)</f>
        <v>127964.30064905513</v>
      </c>
      <c r="I32" s="112">
        <f>VLOOKUP($B32,Rurality!$B$6:$H$40,6,FALSE)</f>
        <v>429830.44536360091</v>
      </c>
      <c r="J32" s="112">
        <f>VLOOKUP($B32,Education!$B$6:$H$40,6,FALSE)</f>
        <v>90204.485394564908</v>
      </c>
      <c r="K32" s="137">
        <f>VLOOKUP($B32,Language!$B$6:$H$40,6,FALSE)</f>
        <v>39790.668526581627</v>
      </c>
      <c r="L32" s="194">
        <v>0</v>
      </c>
      <c r="M32" s="198">
        <v>0</v>
      </c>
      <c r="N32" s="150">
        <f t="shared" si="0"/>
        <v>1662682.1361242067</v>
      </c>
      <c r="O32" s="113">
        <f t="shared" si="1"/>
        <v>2.6015823619554956E-2</v>
      </c>
      <c r="P32" s="113">
        <f t="shared" si="2"/>
        <v>2.0477292040411672E-2</v>
      </c>
      <c r="Q32" s="151">
        <f t="shared" si="3"/>
        <v>19.166364681547051</v>
      </c>
      <c r="R32" s="102"/>
      <c r="T32" s="22"/>
      <c r="U32" s="22"/>
    </row>
    <row r="33" spans="2:21" x14ac:dyDescent="0.45">
      <c r="B33" s="110" t="s">
        <v>51</v>
      </c>
      <c r="C33" s="111">
        <f>VLOOKUP($B33,'County Data'!$B$10:$C$46,2,FALSE)</f>
        <v>94360</v>
      </c>
      <c r="D33" s="136">
        <f>VLOOKUP($B33,Floor!$B$6:$M$45,4,FALSE)</f>
        <v>380370.0624677419</v>
      </c>
      <c r="E33" s="112">
        <f>VLOOKUP($B33,Burden!$B$6:$H$40,6,FALSE)</f>
        <v>121898.26764274102</v>
      </c>
      <c r="F33" s="112">
        <f>VLOOKUP($B33,'Health Status'!$B$6:$H$40,6,FALSE)</f>
        <v>129919.39832632864</v>
      </c>
      <c r="G33" s="112">
        <f>VLOOKUP($B33,Ethnicity!$B$6:$H$40,6,FALSE)</f>
        <v>178261.61519066271</v>
      </c>
      <c r="H33" s="112">
        <f>VLOOKUP($B33,Poverty!$B$6:$H$40,6,FALSE)</f>
        <v>115764.92930542257</v>
      </c>
      <c r="I33" s="112">
        <f>VLOOKUP($B33,Rurality!$B$6:$H$40,6,FALSE)</f>
        <v>195326.40550772371</v>
      </c>
      <c r="J33" s="112">
        <f>VLOOKUP($B33,Education!$B$6:$H$40,6,FALSE)</f>
        <v>45688.663046849128</v>
      </c>
      <c r="K33" s="137">
        <f>VLOOKUP($B33,Language!$B$6:$H$40,6,FALSE)</f>
        <v>157312.91830090046</v>
      </c>
      <c r="L33" s="194">
        <v>0</v>
      </c>
      <c r="M33" s="198">
        <v>0</v>
      </c>
      <c r="N33" s="150">
        <f t="shared" si="0"/>
        <v>1324542.2597883702</v>
      </c>
      <c r="O33" s="113">
        <f t="shared" si="1"/>
        <v>2.0724982279310904E-2</v>
      </c>
      <c r="P33" s="113">
        <f t="shared" si="2"/>
        <v>2.2273628552544614E-2</v>
      </c>
      <c r="Q33" s="151">
        <f t="shared" si="3"/>
        <v>14.037115936714395</v>
      </c>
      <c r="R33" s="102"/>
      <c r="T33" s="22"/>
      <c r="U33" s="22"/>
    </row>
    <row r="34" spans="2:21" x14ac:dyDescent="0.45">
      <c r="B34" s="110" t="s">
        <v>82</v>
      </c>
      <c r="C34" s="111">
        <f>VLOOKUP($B34,'County Data'!$B$10:$C$46,2,FALSE)</f>
        <v>108060</v>
      </c>
      <c r="D34" s="136">
        <f>VLOOKUP($B34,Floor!$B$6:$M$45,4,FALSE)</f>
        <v>380370.0624677419</v>
      </c>
      <c r="E34" s="112">
        <f>VLOOKUP($B34,Burden!$B$6:$H$40,6,FALSE)</f>
        <v>215720.72844665978</v>
      </c>
      <c r="F34" s="112">
        <f>VLOOKUP($B34,'Health Status'!$B$6:$H$40,6,FALSE)</f>
        <v>242264.85214770821</v>
      </c>
      <c r="G34" s="112">
        <f>VLOOKUP($B34,Ethnicity!$B$6:$H$40,6,FALSE)</f>
        <v>166116.96065995275</v>
      </c>
      <c r="H34" s="112">
        <f>VLOOKUP($B34,Poverty!$B$6:$H$40,6,FALSE)</f>
        <v>102558.05750196098</v>
      </c>
      <c r="I34" s="112">
        <f>VLOOKUP($B34,Rurality!$B$6:$H$40,6,FALSE)</f>
        <v>268898.62340759276</v>
      </c>
      <c r="J34" s="112">
        <f>VLOOKUP($B34,Education!$B$6:$H$40,6,FALSE)</f>
        <v>134814.02354959812</v>
      </c>
      <c r="K34" s="137">
        <f>VLOOKUP($B34,Language!$B$6:$H$40,6,FALSE)</f>
        <v>199670.86422516528</v>
      </c>
      <c r="L34" s="194">
        <v>0</v>
      </c>
      <c r="M34" s="198">
        <v>0</v>
      </c>
      <c r="N34" s="150">
        <f t="shared" si="0"/>
        <v>1710414.1724063796</v>
      </c>
      <c r="O34" s="113">
        <f t="shared" si="1"/>
        <v>2.6762682089938164E-2</v>
      </c>
      <c r="P34" s="113">
        <f t="shared" si="2"/>
        <v>2.5507506373335851E-2</v>
      </c>
      <c r="Q34" s="151">
        <f t="shared" si="3"/>
        <v>15.828374721510084</v>
      </c>
      <c r="R34" s="102"/>
      <c r="T34" s="22"/>
      <c r="U34" s="22"/>
    </row>
    <row r="35" spans="2:21" x14ac:dyDescent="0.45">
      <c r="B35" s="110" t="s">
        <v>59</v>
      </c>
      <c r="C35" s="111">
        <f>VLOOKUP($B35,'County Data'!$B$10:$C$46,2,FALSE)</f>
        <v>112250</v>
      </c>
      <c r="D35" s="136">
        <f>VLOOKUP($B35,Floor!$B$6:$M$45,4,FALSE)</f>
        <v>380370.0624677419</v>
      </c>
      <c r="E35" s="112">
        <f>VLOOKUP($B35,Burden!$B$6:$H$40,6,FALSE)</f>
        <v>359896.99399715714</v>
      </c>
      <c r="F35" s="112">
        <f>VLOOKUP($B35,'Health Status'!$B$6:$H$40,6,FALSE)</f>
        <v>303631.58667360799</v>
      </c>
      <c r="G35" s="112">
        <f>VLOOKUP($B35,Ethnicity!$B$6:$H$40,6,FALSE)</f>
        <v>110492.83329425289</v>
      </c>
      <c r="H35" s="112">
        <f>VLOOKUP($B35,Poverty!$B$6:$H$40,6,FALSE)</f>
        <v>137144.63512428067</v>
      </c>
      <c r="I35" s="112">
        <f>VLOOKUP($B35,Rurality!$B$6:$H$40,6,FALSE)</f>
        <v>509212.13209684152</v>
      </c>
      <c r="J35" s="112">
        <f>VLOOKUP($B35,Education!$B$6:$H$40,6,FALSE)</f>
        <v>129825.50393431974</v>
      </c>
      <c r="K35" s="137">
        <f>VLOOKUP($B35,Language!$B$6:$H$40,6,FALSE)</f>
        <v>46563.370579830458</v>
      </c>
      <c r="L35" s="194">
        <v>0</v>
      </c>
      <c r="M35" s="198">
        <v>0</v>
      </c>
      <c r="N35" s="150">
        <f t="shared" si="0"/>
        <v>1977137.1181680323</v>
      </c>
      <c r="O35" s="113">
        <f t="shared" si="1"/>
        <v>3.0936069751634265E-2</v>
      </c>
      <c r="P35" s="113">
        <f t="shared" si="2"/>
        <v>2.6496553677650837E-2</v>
      </c>
      <c r="Q35" s="151">
        <f t="shared" si="3"/>
        <v>17.613693703055965</v>
      </c>
      <c r="R35" s="102"/>
      <c r="T35" s="22"/>
      <c r="U35" s="22"/>
    </row>
    <row r="36" spans="2:21" x14ac:dyDescent="0.45">
      <c r="B36" s="110" t="s">
        <v>70</v>
      </c>
      <c r="C36" s="111">
        <f>VLOOKUP($B36,'County Data'!$B$10:$C$46,2,FALSE)</f>
        <v>126550</v>
      </c>
      <c r="D36" s="136">
        <f>VLOOKUP($B36,Floor!$B$6:$M$45,4,FALSE)</f>
        <v>380370.0624677419</v>
      </c>
      <c r="E36" s="112">
        <f>VLOOKUP($B36,Burden!$B$6:$H$40,6,FALSE)</f>
        <v>300202.25742538151</v>
      </c>
      <c r="F36" s="112">
        <f>VLOOKUP($B36,'Health Status'!$B$6:$H$40,6,FALSE)</f>
        <v>279092.61783469422</v>
      </c>
      <c r="G36" s="112">
        <f>VLOOKUP($B36,Ethnicity!$B$6:$H$40,6,FALSE)</f>
        <v>159610.06977168191</v>
      </c>
      <c r="H36" s="112">
        <f>VLOOKUP($B36,Poverty!$B$6:$H$40,6,FALSE)</f>
        <v>142445.03018129928</v>
      </c>
      <c r="I36" s="112">
        <f>VLOOKUP($B36,Rurality!$B$6:$H$40,6,FALSE)</f>
        <v>440315.94092862832</v>
      </c>
      <c r="J36" s="112">
        <f>VLOOKUP($B36,Education!$B$6:$H$40,6,FALSE)</f>
        <v>135577.95377462971</v>
      </c>
      <c r="K36" s="137">
        <f>VLOOKUP($B36,Language!$B$6:$H$40,6,FALSE)</f>
        <v>106745.97087992397</v>
      </c>
      <c r="L36" s="194">
        <v>0</v>
      </c>
      <c r="M36" s="198">
        <v>0</v>
      </c>
      <c r="N36" s="150">
        <f t="shared" si="0"/>
        <v>1944359.9032639805</v>
      </c>
      <c r="O36" s="113">
        <f t="shared" si="1"/>
        <v>3.0423207898392847E-2</v>
      </c>
      <c r="P36" s="113">
        <f t="shared" si="2"/>
        <v>2.9872061184024173E-2</v>
      </c>
      <c r="Q36" s="151">
        <f t="shared" si="3"/>
        <v>15.364361147878155</v>
      </c>
      <c r="R36" s="114">
        <f>SUM(N30:N36)/SUM(C30:C36)</f>
        <v>16.893241939127055</v>
      </c>
      <c r="T36" s="22"/>
      <c r="U36" s="22"/>
    </row>
    <row r="37" spans="2:21" x14ac:dyDescent="0.45">
      <c r="B37" s="115" t="s">
        <v>58</v>
      </c>
      <c r="C37" s="116">
        <f>VLOOKUP($B37,'County Data'!$B$10:$C$46,2,FALSE)</f>
        <v>193000</v>
      </c>
      <c r="D37" s="138">
        <f>VLOOKUP($B37,Floor!$B$6:$M$45,4,FALSE)</f>
        <v>475462.57808467734</v>
      </c>
      <c r="E37" s="117">
        <f>VLOOKUP($B37,Burden!$B$6:$H$40,6,FALSE)</f>
        <v>329528.80158327339</v>
      </c>
      <c r="F37" s="117">
        <f>VLOOKUP($B37,'Health Status'!$B$6:$H$40,6,FALSE)</f>
        <v>322170.29969449097</v>
      </c>
      <c r="G37" s="117">
        <f>VLOOKUP($B37,Ethnicity!$B$6:$H$40,6,FALSE)</f>
        <v>165234.88512748611</v>
      </c>
      <c r="H37" s="117">
        <f>VLOOKUP($B37,Poverty!$B$6:$H$40,6,FALSE)</f>
        <v>159396.72785188578</v>
      </c>
      <c r="I37" s="117">
        <f>VLOOKUP($B37,Rurality!$B$6:$H$40,6,FALSE)</f>
        <v>586518.30070133321</v>
      </c>
      <c r="J37" s="117">
        <f>VLOOKUP($B37,Education!$B$6:$H$40,6,FALSE)</f>
        <v>132610.87396336414</v>
      </c>
      <c r="K37" s="139">
        <f>VLOOKUP($B37,Language!$B$6:$H$40,6,FALSE)</f>
        <v>142466.54869781542</v>
      </c>
      <c r="L37" s="195">
        <v>0</v>
      </c>
      <c r="M37" s="199">
        <v>0</v>
      </c>
      <c r="N37" s="152">
        <f t="shared" si="0"/>
        <v>2313389.0157043263</v>
      </c>
      <c r="O37" s="118">
        <f t="shared" si="1"/>
        <v>3.6197370073556653E-2</v>
      </c>
      <c r="P37" s="118">
        <f t="shared" si="2"/>
        <v>4.5557548862241525E-2</v>
      </c>
      <c r="Q37" s="153">
        <f t="shared" si="3"/>
        <v>11.98647158396024</v>
      </c>
      <c r="R37" s="102"/>
      <c r="T37" s="22"/>
      <c r="U37" s="22"/>
    </row>
    <row r="38" spans="2:21" x14ac:dyDescent="0.45">
      <c r="B38" s="115" t="s">
        <v>63</v>
      </c>
      <c r="C38" s="116">
        <f>VLOOKUP($B38,'County Data'!$B$10:$C$46,2,FALSE)</f>
        <v>221290</v>
      </c>
      <c r="D38" s="138">
        <f>VLOOKUP($B38,Floor!$B$6:$M$45,4,FALSE)</f>
        <v>475462.57808467734</v>
      </c>
      <c r="E38" s="117">
        <f>VLOOKUP($B38,Burden!$B$6:$H$40,6,FALSE)</f>
        <v>536077.94398219674</v>
      </c>
      <c r="F38" s="117">
        <f>VLOOKUP($B38,'Health Status'!$B$6:$H$40,6,FALSE)</f>
        <v>496120.57312387886</v>
      </c>
      <c r="G38" s="117">
        <f>VLOOKUP($B38,Ethnicity!$B$6:$H$40,6,FALSE)</f>
        <v>251300.36254064227</v>
      </c>
      <c r="H38" s="117">
        <f>VLOOKUP($B38,Poverty!$B$6:$H$40,6,FALSE)</f>
        <v>261213.8785218852</v>
      </c>
      <c r="I38" s="117">
        <f>VLOOKUP($B38,Rurality!$B$6:$H$40,6,FALSE)</f>
        <v>489748.39654580236</v>
      </c>
      <c r="J38" s="117">
        <f>VLOOKUP($B38,Education!$B$6:$H$40,6,FALSE)</f>
        <v>243759.73148621854</v>
      </c>
      <c r="K38" s="139">
        <f>VLOOKUP($B38,Language!$B$6:$H$40,6,FALSE)</f>
        <v>272084.60033123969</v>
      </c>
      <c r="L38" s="195">
        <v>0</v>
      </c>
      <c r="M38" s="199">
        <v>0</v>
      </c>
      <c r="N38" s="152">
        <f t="shared" si="0"/>
        <v>3025768.0646165414</v>
      </c>
      <c r="O38" s="118">
        <f t="shared" si="1"/>
        <v>4.7343894886752835E-2</v>
      </c>
      <c r="P38" s="118">
        <f t="shared" si="2"/>
        <v>5.2235388537437449E-2</v>
      </c>
      <c r="Q38" s="153">
        <f t="shared" si="3"/>
        <v>13.673315850768409</v>
      </c>
      <c r="R38" s="102"/>
      <c r="T38" s="22"/>
      <c r="U38" s="22"/>
    </row>
    <row r="39" spans="2:21" x14ac:dyDescent="0.45">
      <c r="B39" s="115" t="s">
        <v>72</v>
      </c>
      <c r="C39" s="116">
        <f>VLOOKUP($B39,'County Data'!$B$10:$C$46,2,FALSE)</f>
        <v>347760</v>
      </c>
      <c r="D39" s="138">
        <f>VLOOKUP($B39,Floor!$B$6:$M$45,4,FALSE)</f>
        <v>475462.57808467734</v>
      </c>
      <c r="E39" s="117">
        <f>VLOOKUP($B39,Burden!$B$6:$H$40,6,FALSE)</f>
        <v>702643.24796233152</v>
      </c>
      <c r="F39" s="117">
        <f>VLOOKUP($B39,'Health Status'!$B$6:$H$40,6,FALSE)</f>
        <v>813557.926590416</v>
      </c>
      <c r="G39" s="117">
        <f>VLOOKUP($B39,Ethnicity!$B$6:$H$40,6,FALSE)</f>
        <v>866545.8773835894</v>
      </c>
      <c r="H39" s="117">
        <f>VLOOKUP($B39,Poverty!$B$6:$H$40,6,FALSE)</f>
        <v>419579.91457269533</v>
      </c>
      <c r="I39" s="117">
        <f>VLOOKUP($B39,Rurality!$B$6:$H$40,6,FALSE)</f>
        <v>501609.90007130604</v>
      </c>
      <c r="J39" s="117">
        <f>VLOOKUP($B39,Education!$B$6:$H$40,6,FALSE)</f>
        <v>544347.00000851427</v>
      </c>
      <c r="K39" s="139">
        <f>VLOOKUP($B39,Language!$B$6:$H$40,6,FALSE)</f>
        <v>1266517.2095857959</v>
      </c>
      <c r="L39" s="195">
        <v>0</v>
      </c>
      <c r="M39" s="199">
        <v>0</v>
      </c>
      <c r="N39" s="152">
        <f t="shared" si="0"/>
        <v>5590263.6542593259</v>
      </c>
      <c r="O39" s="118">
        <f t="shared" si="1"/>
        <v>8.747030479020855E-2</v>
      </c>
      <c r="P39" s="118">
        <f t="shared" si="2"/>
        <v>8.2088565763384011E-2</v>
      </c>
      <c r="Q39" s="153">
        <f t="shared" si="3"/>
        <v>16.07506226782645</v>
      </c>
      <c r="R39" s="119">
        <f>SUM(N37:N39)/SUM(C37:C39)</f>
        <v>14.342130745463148</v>
      </c>
      <c r="T39" s="22"/>
      <c r="U39" s="22"/>
    </row>
    <row r="40" spans="2:21" x14ac:dyDescent="0.45">
      <c r="B40" s="120" t="s">
        <v>68</v>
      </c>
      <c r="C40" s="121">
        <f>VLOOKUP($B40,'County Data'!$B$10:$C$46,2,FALSE)</f>
        <v>378880</v>
      </c>
      <c r="D40" s="140">
        <f>VLOOKUP($B40,Floor!$B$6:$M$45,4,FALSE)</f>
        <v>570555.0937016129</v>
      </c>
      <c r="E40" s="122">
        <f>VLOOKUP($B40,Burden!$B$6:$H$40,6,FALSE)</f>
        <v>820089.72876967373</v>
      </c>
      <c r="F40" s="122">
        <f>VLOOKUP($B40,'Health Status'!$B$6:$H$40,6,FALSE)</f>
        <v>766332.76360989723</v>
      </c>
      <c r="G40" s="122">
        <f>VLOOKUP($B40,Ethnicity!$B$6:$H$40,6,FALSE)</f>
        <v>647997.51710665144</v>
      </c>
      <c r="H40" s="122">
        <f>VLOOKUP($B40,Poverty!$B$6:$H$40,6,FALSE)</f>
        <v>479024.26656788745</v>
      </c>
      <c r="I40" s="122">
        <f>VLOOKUP($B40,Rurality!$B$6:$H$40,6,FALSE)</f>
        <v>730053.86741948628</v>
      </c>
      <c r="J40" s="122">
        <f>VLOOKUP($B40,Education!$B$6:$H$40,6,FALSE)</f>
        <v>346684.93189766072</v>
      </c>
      <c r="K40" s="141">
        <f>VLOOKUP($B40,Language!$B$6:$H$40,6,FALSE)</f>
        <v>341928.01193476474</v>
      </c>
      <c r="L40" s="196">
        <v>0</v>
      </c>
      <c r="M40" s="200">
        <v>0</v>
      </c>
      <c r="N40" s="154">
        <f t="shared" si="0"/>
        <v>4702666.1810076348</v>
      </c>
      <c r="O40" s="123">
        <f t="shared" si="1"/>
        <v>7.3582154549353587E-2</v>
      </c>
      <c r="P40" s="123">
        <f t="shared" si="2"/>
        <v>8.9434425455575492E-2</v>
      </c>
      <c r="Q40" s="155">
        <f t="shared" si="3"/>
        <v>12.412020114568293</v>
      </c>
      <c r="R40" s="174"/>
      <c r="T40" s="22"/>
      <c r="U40" s="22"/>
    </row>
    <row r="41" spans="2:21" x14ac:dyDescent="0.45">
      <c r="B41" s="120" t="s">
        <v>52</v>
      </c>
      <c r="C41" s="121">
        <f>VLOOKUP($B41,'County Data'!$B$10:$C$46,2,FALSE)</f>
        <v>423420</v>
      </c>
      <c r="D41" s="140">
        <f>VLOOKUP($B41,Floor!$B$6:$M$45,4,FALSE)</f>
        <v>570555.0937016129</v>
      </c>
      <c r="E41" s="122">
        <f>VLOOKUP($B41,Burden!$B$6:$H$40,6,FALSE)</f>
        <v>761671.48818611423</v>
      </c>
      <c r="F41" s="122">
        <f>VLOOKUP($B41,'Health Status'!$B$6:$H$40,6,FALSE)</f>
        <v>748078.19307185803</v>
      </c>
      <c r="G41" s="122">
        <f>VLOOKUP($B41,Ethnicity!$B$6:$H$40,6,FALSE)</f>
        <v>666354.52531770419</v>
      </c>
      <c r="H41" s="122">
        <f>VLOOKUP($B41,Poverty!$B$6:$H$40,6,FALSE)</f>
        <v>257351.56658517325</v>
      </c>
      <c r="I41" s="122">
        <f>VLOOKUP($B41,Rurality!$B$6:$H$40,6,FALSE)</f>
        <v>843849.73676157324</v>
      </c>
      <c r="J41" s="122">
        <f>VLOOKUP($B41,Education!$B$6:$H$40,6,FALSE)</f>
        <v>302394.16078176198</v>
      </c>
      <c r="K41" s="141">
        <f>VLOOKUP($B41,Language!$B$6:$H$40,6,FALSE)</f>
        <v>605595.52962872502</v>
      </c>
      <c r="L41" s="196">
        <v>0</v>
      </c>
      <c r="M41" s="200">
        <v>0</v>
      </c>
      <c r="N41" s="154">
        <f t="shared" si="0"/>
        <v>4755850.294034523</v>
      </c>
      <c r="O41" s="123">
        <f t="shared" si="1"/>
        <v>7.4414321127563965E-2</v>
      </c>
      <c r="P41" s="123">
        <f t="shared" si="2"/>
        <v>9.9948069115286559E-2</v>
      </c>
      <c r="Q41" s="155">
        <f t="shared" si="3"/>
        <v>11.231992570106568</v>
      </c>
      <c r="R41" s="102"/>
      <c r="T41" s="22"/>
      <c r="U41" s="22"/>
    </row>
    <row r="42" spans="2:21" x14ac:dyDescent="0.45">
      <c r="B42" s="120" t="s">
        <v>80</v>
      </c>
      <c r="C42" s="121">
        <f>VLOOKUP($B42,'County Data'!$B$10:$C$46,2,FALSE)</f>
        <v>613410</v>
      </c>
      <c r="D42" s="140">
        <f>VLOOKUP($B42,Floor!$B$6:$M$45,4,FALSE)</f>
        <v>570555.0937016129</v>
      </c>
      <c r="E42" s="122">
        <f>VLOOKUP($B42,Burden!$B$6:$H$40,6,FALSE)</f>
        <v>831049.17252368119</v>
      </c>
      <c r="F42" s="122">
        <f>VLOOKUP($B42,'Health Status'!$B$6:$H$40,6,FALSE)</f>
        <v>1128587.988876187</v>
      </c>
      <c r="G42" s="122">
        <f>VLOOKUP($B42,Ethnicity!$B$6:$H$40,6,FALSE)</f>
        <v>1925308.6704004225</v>
      </c>
      <c r="H42" s="122">
        <f>VLOOKUP($B42,Poverty!$B$6:$H$40,6,FALSE)</f>
        <v>440810.16342782578</v>
      </c>
      <c r="I42" s="122">
        <f>VLOOKUP($B42,Rurality!$B$6:$H$40,6,FALSE)</f>
        <v>378228.33007921203</v>
      </c>
      <c r="J42" s="122">
        <f>VLOOKUP($B42,Education!$B$6:$H$40,6,FALSE)</f>
        <v>546798.32689993794</v>
      </c>
      <c r="K42" s="141">
        <f>VLOOKUP($B42,Language!$B$6:$H$40,6,FALSE)</f>
        <v>1945188.8797150091</v>
      </c>
      <c r="L42" s="196">
        <v>0</v>
      </c>
      <c r="M42" s="200">
        <v>0</v>
      </c>
      <c r="N42" s="154">
        <f t="shared" si="0"/>
        <v>7766526.6256238893</v>
      </c>
      <c r="O42" s="123">
        <f t="shared" si="1"/>
        <v>0.12152207715408725</v>
      </c>
      <c r="P42" s="123">
        <f t="shared" si="2"/>
        <v>0.1447951090548579</v>
      </c>
      <c r="Q42" s="155">
        <f t="shared" si="3"/>
        <v>12.661232496411682</v>
      </c>
      <c r="R42" s="102"/>
      <c r="T42" s="22"/>
      <c r="U42" s="22"/>
    </row>
    <row r="43" spans="2:21" x14ac:dyDescent="0.45">
      <c r="B43" s="120" t="s">
        <v>74</v>
      </c>
      <c r="C43" s="121">
        <f>VLOOKUP($B43,'County Data'!$B$10:$C$46,2,FALSE)</f>
        <v>821730</v>
      </c>
      <c r="D43" s="140">
        <f>VLOOKUP($B43,Floor!$B$6:$M$45,4,FALSE)</f>
        <v>570555.0937016129</v>
      </c>
      <c r="E43" s="122">
        <f>VLOOKUP($B43,Burden!$B$6:$H$40,6,FALSE)</f>
        <v>1624104.2092293412</v>
      </c>
      <c r="F43" s="122">
        <f>VLOOKUP($B43,'Health Status'!$B$6:$H$40,6,FALSE)</f>
        <v>1611991.1145282178</v>
      </c>
      <c r="G43" s="122">
        <f>VLOOKUP($B43,Ethnicity!$B$6:$H$40,6,FALSE)</f>
        <v>2398387.9985404112</v>
      </c>
      <c r="H43" s="122">
        <f>VLOOKUP($B43,Poverty!$B$6:$H$40,6,FALSE)</f>
        <v>845504.05189774954</v>
      </c>
      <c r="I43" s="122">
        <f>VLOOKUP($B43,Rurality!$B$6:$H$40,6,FALSE)</f>
        <v>117621.75944392476</v>
      </c>
      <c r="J43" s="122">
        <f>VLOOKUP($B43,Education!$B$6:$H$40,6,FALSE)</f>
        <v>759602.78737497481</v>
      </c>
      <c r="K43" s="141">
        <f>VLOOKUP($B43,Language!$B$6:$H$40,6,FALSE)</f>
        <v>2422594.7294474524</v>
      </c>
      <c r="L43" s="196">
        <v>0</v>
      </c>
      <c r="M43" s="200">
        <v>0</v>
      </c>
      <c r="N43" s="154">
        <f t="shared" si="0"/>
        <v>10350361.744163685</v>
      </c>
      <c r="O43" s="123">
        <f t="shared" si="1"/>
        <v>0.16195109076136499</v>
      </c>
      <c r="P43" s="123">
        <f t="shared" si="2"/>
        <v>0.19396893588896233</v>
      </c>
      <c r="Q43" s="155">
        <f t="shared" si="3"/>
        <v>12.595818266539721</v>
      </c>
      <c r="R43" s="124">
        <f>SUM(N40:N43)/SUM(C40:C43)</f>
        <v>12.324533772896583</v>
      </c>
      <c r="T43" s="22"/>
      <c r="U43" s="22"/>
    </row>
    <row r="44" spans="2:21" ht="14.65" thickBot="1" x14ac:dyDescent="0.5">
      <c r="B44" s="125" t="s">
        <v>2</v>
      </c>
      <c r="C44" s="126">
        <f t="shared" ref="C44:H44" si="4">SUM(C10:C43)</f>
        <v>4236400</v>
      </c>
      <c r="D44" s="142">
        <f t="shared" si="4"/>
        <v>11791471.936499994</v>
      </c>
      <c r="E44" s="127">
        <f t="shared" si="4"/>
        <v>8686490.8439166658</v>
      </c>
      <c r="F44" s="127">
        <f t="shared" si="4"/>
        <v>8686490.8439166658</v>
      </c>
      <c r="G44" s="127">
        <f t="shared" si="4"/>
        <v>8686490.8439166658</v>
      </c>
      <c r="H44" s="127">
        <f t="shared" si="4"/>
        <v>4343245.4219583329</v>
      </c>
      <c r="I44" s="127">
        <f t="shared" ref="I44:J44" si="5">SUM(I10:I43)</f>
        <v>8686490.8439166658</v>
      </c>
      <c r="J44" s="127">
        <f t="shared" si="5"/>
        <v>4343245.4219583329</v>
      </c>
      <c r="K44" s="143">
        <f t="shared" ref="K44:P44" si="6">SUM(K10:K43)</f>
        <v>8686490.8439166658</v>
      </c>
      <c r="L44" s="169">
        <v>0</v>
      </c>
      <c r="M44" s="170">
        <v>0</v>
      </c>
      <c r="N44" s="142">
        <f t="shared" si="6"/>
        <v>63910417</v>
      </c>
      <c r="O44" s="128">
        <f t="shared" si="6"/>
        <v>1</v>
      </c>
      <c r="P44" s="128">
        <f t="shared" si="6"/>
        <v>1</v>
      </c>
      <c r="Q44" s="156">
        <f t="shared" si="3"/>
        <v>15.086020441884619</v>
      </c>
      <c r="R44" s="129">
        <f>N44/C44</f>
        <v>15.086020441884619</v>
      </c>
      <c r="U44" s="22"/>
    </row>
    <row r="45" spans="2:21" ht="14.65" thickTop="1" x14ac:dyDescent="0.45">
      <c r="N45" s="38"/>
    </row>
    <row r="46" spans="2:21" ht="15.75" x14ac:dyDescent="0.45">
      <c r="B46" s="179" t="s">
        <v>135</v>
      </c>
      <c r="L46" s="207" t="s">
        <v>43</v>
      </c>
      <c r="M46" s="207"/>
      <c r="N46" s="207"/>
      <c r="O46" s="207"/>
      <c r="P46" s="207"/>
    </row>
    <row r="47" spans="2:21" ht="15.75" x14ac:dyDescent="0.45">
      <c r="B47" s="180" t="s">
        <v>138</v>
      </c>
      <c r="C47" s="39"/>
      <c r="D47" s="39"/>
      <c r="E47" s="39"/>
      <c r="F47" s="39"/>
      <c r="L47" s="41" t="s">
        <v>44</v>
      </c>
      <c r="M47" s="42" t="s">
        <v>45</v>
      </c>
      <c r="N47" s="43" t="s">
        <v>46</v>
      </c>
      <c r="O47" s="44" t="s">
        <v>47</v>
      </c>
      <c r="P47" s="45" t="s">
        <v>48</v>
      </c>
    </row>
    <row r="48" spans="2:21" ht="15.75" x14ac:dyDescent="0.45">
      <c r="B48" s="180" t="s">
        <v>139</v>
      </c>
      <c r="C48" s="25"/>
      <c r="L48" t="s">
        <v>121</v>
      </c>
      <c r="M48" t="s">
        <v>122</v>
      </c>
      <c r="N48" t="s">
        <v>123</v>
      </c>
      <c r="O48" t="s">
        <v>124</v>
      </c>
      <c r="P48" t="s">
        <v>125</v>
      </c>
    </row>
    <row r="49" spans="2:14" ht="15.75" x14ac:dyDescent="0.45">
      <c r="B49" s="180" t="s">
        <v>137</v>
      </c>
      <c r="C49" s="25"/>
      <c r="N49" s="38"/>
    </row>
    <row r="50" spans="2:14" ht="15.75" x14ac:dyDescent="0.45">
      <c r="B50" s="180" t="s">
        <v>136</v>
      </c>
      <c r="C50" s="25"/>
    </row>
  </sheetData>
  <sortState xmlns:xlrd2="http://schemas.microsoft.com/office/spreadsheetml/2017/richdata2" ref="T10:U43">
    <sortCondition ref="U10:U43"/>
  </sortState>
  <mergeCells count="4">
    <mergeCell ref="L46:P46"/>
    <mergeCell ref="D8:K8"/>
    <mergeCell ref="L8:M8"/>
    <mergeCell ref="N8:Q8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2"/>
  <sheetViews>
    <sheetView topLeftCell="A16" zoomScaleNormal="100" workbookViewId="0">
      <selection activeCell="B4" sqref="B4"/>
    </sheetView>
  </sheetViews>
  <sheetFormatPr defaultRowHeight="14.25" x14ac:dyDescent="0.45"/>
  <cols>
    <col min="2" max="2" width="18" customWidth="1"/>
    <col min="3" max="3" width="13" customWidth="1"/>
    <col min="4" max="4" width="12.1328125" bestFit="1" customWidth="1"/>
    <col min="5" max="5" width="12.59765625" bestFit="1" customWidth="1"/>
    <col min="6" max="6" width="11.1328125" bestFit="1" customWidth="1"/>
    <col min="7" max="7" width="13.59765625" bestFit="1" customWidth="1"/>
    <col min="8" max="8" width="15.1328125" bestFit="1" customWidth="1"/>
    <col min="9" max="9" width="10.86328125" bestFit="1" customWidth="1"/>
    <col min="10" max="10" width="11.265625" bestFit="1" customWidth="1"/>
    <col min="11" max="11" width="14.59765625" bestFit="1" customWidth="1"/>
    <col min="12" max="12" width="14.59765625" hidden="1" customWidth="1"/>
    <col min="13" max="16" width="10.73046875" hidden="1" customWidth="1"/>
  </cols>
  <sheetData>
    <row r="1" spans="2:17" ht="18" x14ac:dyDescent="0.55000000000000004">
      <c r="B1" s="24" t="str">
        <f>Input!$B$1</f>
        <v>PHAB Funding and Incentives Subcommittee</v>
      </c>
    </row>
    <row r="2" spans="2:17" ht="15.75" x14ac:dyDescent="0.45">
      <c r="B2" s="23" t="str">
        <f>Input!$B$2</f>
        <v>Subcommittee Members: Carrie Brogoitti, Bob Dannenhoffer, Jeff Luck, Alejandro Queral, Akiko Saito</v>
      </c>
    </row>
    <row r="3" spans="2:17" ht="15.75" x14ac:dyDescent="0.45">
      <c r="B3" s="23" t="str">
        <f>Input!$B$3</f>
        <v>Updated August, 2020</v>
      </c>
    </row>
    <row r="4" spans="2:17" ht="15" customHeight="1" x14ac:dyDescent="0.45"/>
    <row r="5" spans="2:17" x14ac:dyDescent="0.45">
      <c r="B5" t="s">
        <v>21</v>
      </c>
      <c r="C5" s="9">
        <f>Input!C5</f>
        <v>63910417</v>
      </c>
    </row>
    <row r="6" spans="2:17" x14ac:dyDescent="0.4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28.5" x14ac:dyDescent="0.45">
      <c r="B7" s="67" t="s">
        <v>7</v>
      </c>
      <c r="C7" s="177" t="s">
        <v>1</v>
      </c>
      <c r="D7" s="68" t="s">
        <v>20</v>
      </c>
      <c r="E7" s="177" t="s">
        <v>8</v>
      </c>
      <c r="F7" s="177" t="s">
        <v>9</v>
      </c>
      <c r="G7" s="177" t="s">
        <v>18</v>
      </c>
      <c r="H7" s="177" t="s">
        <v>83</v>
      </c>
      <c r="I7" s="177" t="s">
        <v>84</v>
      </c>
      <c r="J7" s="177" t="s">
        <v>40</v>
      </c>
      <c r="K7" s="177" t="s">
        <v>19</v>
      </c>
      <c r="L7" s="175" t="s">
        <v>111</v>
      </c>
      <c r="M7" s="175" t="s">
        <v>95</v>
      </c>
      <c r="N7" s="175" t="s">
        <v>99</v>
      </c>
      <c r="O7" s="175" t="s">
        <v>100</v>
      </c>
      <c r="P7" s="176" t="s">
        <v>101</v>
      </c>
    </row>
    <row r="8" spans="2:17" x14ac:dyDescent="0.45">
      <c r="B8" s="61" t="s">
        <v>10</v>
      </c>
      <c r="C8" s="62">
        <f>Input!C15</f>
        <v>0</v>
      </c>
      <c r="D8" s="62">
        <f>Input!C7</f>
        <v>0.1845</v>
      </c>
      <c r="E8" s="62">
        <f>Input!C16</f>
        <v>0.13591666666666666</v>
      </c>
      <c r="F8" s="62">
        <f>Input!C17</f>
        <v>0.13591666666666666</v>
      </c>
      <c r="G8" s="62">
        <f>Input!C18</f>
        <v>0.13591666666666666</v>
      </c>
      <c r="H8" s="62">
        <f>Input!C20</f>
        <v>6.7958333333333329E-2</v>
      </c>
      <c r="I8" s="62">
        <f>Input!C19</f>
        <v>0.13591666666666666</v>
      </c>
      <c r="J8" s="62">
        <f>Input!C21</f>
        <v>6.7958333333333329E-2</v>
      </c>
      <c r="K8" s="62">
        <f>Input!C22</f>
        <v>0.13591666666666666</v>
      </c>
      <c r="L8" s="62">
        <f>Input!C25</f>
        <v>0</v>
      </c>
      <c r="M8" s="62">
        <f>Input!C31</f>
        <v>0</v>
      </c>
      <c r="N8" s="62">
        <f>Input!C32</f>
        <v>0</v>
      </c>
      <c r="O8" s="62">
        <f>Input!C33</f>
        <v>0</v>
      </c>
      <c r="P8" s="63">
        <f>Input!C34</f>
        <v>0</v>
      </c>
      <c r="Q8" s="178">
        <f>1-SUM(C8:P8)</f>
        <v>0</v>
      </c>
    </row>
    <row r="9" spans="2:17" x14ac:dyDescent="0.45">
      <c r="B9" s="64" t="s">
        <v>11</v>
      </c>
      <c r="C9" s="65">
        <f>$C$5*C$8</f>
        <v>0</v>
      </c>
      <c r="D9" s="65">
        <f t="shared" ref="D9:P9" si="0">$C$5*D$8</f>
        <v>11791471.9365</v>
      </c>
      <c r="E9" s="65">
        <f t="shared" si="0"/>
        <v>8686490.8439166658</v>
      </c>
      <c r="F9" s="65">
        <f t="shared" si="0"/>
        <v>8686490.8439166658</v>
      </c>
      <c r="G9" s="65">
        <f t="shared" si="0"/>
        <v>8686490.8439166658</v>
      </c>
      <c r="H9" s="65">
        <f t="shared" si="0"/>
        <v>4343245.4219583329</v>
      </c>
      <c r="I9" s="65">
        <f t="shared" si="0"/>
        <v>8686490.8439166658</v>
      </c>
      <c r="J9" s="65">
        <f t="shared" si="0"/>
        <v>4343245.4219583329</v>
      </c>
      <c r="K9" s="65">
        <f t="shared" si="0"/>
        <v>8686490.8439166658</v>
      </c>
      <c r="L9" s="65">
        <f t="shared" si="0"/>
        <v>0</v>
      </c>
      <c r="M9" s="65">
        <f t="shared" si="0"/>
        <v>0</v>
      </c>
      <c r="N9" s="65">
        <f t="shared" si="0"/>
        <v>0</v>
      </c>
      <c r="O9" s="65">
        <f t="shared" si="0"/>
        <v>0</v>
      </c>
      <c r="P9" s="66">
        <f t="shared" si="0"/>
        <v>0</v>
      </c>
    </row>
    <row r="10" spans="2:17" x14ac:dyDescent="0.45">
      <c r="B10" s="17" t="s">
        <v>50</v>
      </c>
      <c r="C10" s="158">
        <v>16820</v>
      </c>
      <c r="D10" s="55" t="str">
        <f>IF(C10&gt;375000,"Extra Large",IF(C10&gt;150000,"Large",IF(C10&gt;75000,"Medium",IF(C10&gt;20000,"Small","Extra Small"))))</f>
        <v>Extra Small</v>
      </c>
      <c r="E10" s="161">
        <v>8.6297479999999996E-2</v>
      </c>
      <c r="F10" s="161">
        <v>0.18899999999999997</v>
      </c>
      <c r="G10" s="161">
        <v>7.063313313313313E-2</v>
      </c>
      <c r="H10" s="164">
        <v>0.26671850699844479</v>
      </c>
      <c r="I10" s="35">
        <v>0.41</v>
      </c>
      <c r="J10" s="161">
        <v>0.10388846896783405</v>
      </c>
      <c r="K10" s="161">
        <v>1.370043472533263E-2</v>
      </c>
      <c r="L10" s="83">
        <v>361764</v>
      </c>
      <c r="M10" s="77" t="s">
        <v>4</v>
      </c>
      <c r="N10" s="77"/>
      <c r="O10" s="77"/>
      <c r="P10" s="78"/>
      <c r="Q10" s="7"/>
    </row>
    <row r="11" spans="2:17" x14ac:dyDescent="0.45">
      <c r="B11" s="18" t="s">
        <v>51</v>
      </c>
      <c r="C11" s="159">
        <v>94360</v>
      </c>
      <c r="D11" s="56" t="str">
        <f t="shared" ref="D11:D46" si="1">IF(C11&gt;375000,"Extra Large",IF(C11&gt;150000,"Large",IF(C11&gt;75000,"Medium",IF(C11&gt;20000,"Small","Extra Small"))))</f>
        <v>Medium</v>
      </c>
      <c r="E11" s="162">
        <v>4.0668929999999999E-2</v>
      </c>
      <c r="F11" s="162">
        <v>0.113</v>
      </c>
      <c r="G11" s="162">
        <v>0.14361773223435065</v>
      </c>
      <c r="H11" s="165">
        <v>0.2787920514707628</v>
      </c>
      <c r="I11" s="36">
        <v>0.188</v>
      </c>
      <c r="J11" s="162">
        <v>4.5600029431241265E-2</v>
      </c>
      <c r="K11" s="162">
        <v>4.7645036926935759E-2</v>
      </c>
      <c r="L11" s="84">
        <v>1791995</v>
      </c>
      <c r="M11" s="79" t="s">
        <v>4</v>
      </c>
      <c r="N11" s="79"/>
      <c r="O11" s="79"/>
      <c r="P11" s="80"/>
      <c r="Q11" s="7"/>
    </row>
    <row r="12" spans="2:17" x14ac:dyDescent="0.45">
      <c r="B12" s="18" t="s">
        <v>52</v>
      </c>
      <c r="C12" s="159">
        <v>423420</v>
      </c>
      <c r="D12" s="56" t="str">
        <f t="shared" si="1"/>
        <v>Extra Large</v>
      </c>
      <c r="E12" s="162">
        <v>5.6630379999999994E-2</v>
      </c>
      <c r="F12" s="162">
        <v>0.14499999999999999</v>
      </c>
      <c r="G12" s="162">
        <v>0.11963882618510158</v>
      </c>
      <c r="H12" s="165">
        <v>0.13811687940583775</v>
      </c>
      <c r="I12" s="36">
        <v>0.18099999999999999</v>
      </c>
      <c r="J12" s="162">
        <v>6.7258416497069859E-2</v>
      </c>
      <c r="K12" s="162">
        <v>4.0874504898895145E-2</v>
      </c>
      <c r="L12" s="84">
        <v>5019520</v>
      </c>
      <c r="M12" s="79" t="s">
        <v>4</v>
      </c>
      <c r="N12" s="79"/>
      <c r="O12" s="79"/>
      <c r="P12" s="80"/>
      <c r="Q12" s="7"/>
    </row>
    <row r="13" spans="2:17" x14ac:dyDescent="0.45">
      <c r="B13" s="18" t="s">
        <v>53</v>
      </c>
      <c r="C13" s="159">
        <v>39330</v>
      </c>
      <c r="D13" s="56" t="str">
        <f t="shared" si="1"/>
        <v>Small</v>
      </c>
      <c r="E13" s="162">
        <v>8.1797190000000006E-2</v>
      </c>
      <c r="F13" s="162">
        <v>0.15</v>
      </c>
      <c r="G13" s="162">
        <v>8.7962242622270634E-2</v>
      </c>
      <c r="H13" s="165">
        <v>0.22943563260789376</v>
      </c>
      <c r="I13" s="36">
        <v>0.39</v>
      </c>
      <c r="J13" s="162">
        <v>8.4374440665831399E-2</v>
      </c>
      <c r="K13" s="162">
        <v>3.0615877536489856E-2</v>
      </c>
      <c r="L13" s="84">
        <v>446000</v>
      </c>
      <c r="M13" s="79" t="s">
        <v>4</v>
      </c>
      <c r="N13" s="79"/>
      <c r="O13" s="79"/>
      <c r="P13" s="80"/>
      <c r="Q13" s="7"/>
    </row>
    <row r="14" spans="2:17" x14ac:dyDescent="0.45">
      <c r="B14" s="18" t="s">
        <v>54</v>
      </c>
      <c r="C14" s="159">
        <v>52750</v>
      </c>
      <c r="D14" s="56" t="str">
        <f t="shared" si="1"/>
        <v>Small</v>
      </c>
      <c r="E14" s="162">
        <v>7.1908329999999993E-2</v>
      </c>
      <c r="F14" s="162">
        <v>0.20499999999999999</v>
      </c>
      <c r="G14" s="162">
        <v>7.1640675699592926E-2</v>
      </c>
      <c r="H14" s="165">
        <v>0.21043750992536128</v>
      </c>
      <c r="I14" s="36">
        <v>0.436</v>
      </c>
      <c r="J14" s="162">
        <v>9.5876003321339609E-2</v>
      </c>
      <c r="K14" s="162">
        <v>1.3475133196508903E-2</v>
      </c>
      <c r="L14" s="84">
        <v>615328</v>
      </c>
      <c r="M14" s="79" t="s">
        <v>4</v>
      </c>
      <c r="N14" s="79"/>
      <c r="O14" s="79"/>
      <c r="P14" s="80"/>
      <c r="Q14" s="7"/>
    </row>
    <row r="15" spans="2:17" x14ac:dyDescent="0.45">
      <c r="B15" s="18" t="s">
        <v>55</v>
      </c>
      <c r="C15" s="159">
        <v>63290</v>
      </c>
      <c r="D15" s="56" t="str">
        <f t="shared" si="1"/>
        <v>Small</v>
      </c>
      <c r="E15" s="162">
        <v>9.8415849999999985E-2</v>
      </c>
      <c r="F15" s="162">
        <v>0.214</v>
      </c>
      <c r="G15" s="162">
        <v>0.11684147343147785</v>
      </c>
      <c r="H15" s="165">
        <v>0.29889760747123673</v>
      </c>
      <c r="I15" s="36">
        <v>0.38400000000000001</v>
      </c>
      <c r="J15" s="162">
        <v>0.11153339844579388</v>
      </c>
      <c r="K15" s="162">
        <v>1.4799926913941166E-2</v>
      </c>
      <c r="L15" s="84">
        <v>332653</v>
      </c>
      <c r="M15" s="79" t="s">
        <v>4</v>
      </c>
      <c r="N15" s="79"/>
      <c r="O15" s="79"/>
      <c r="P15" s="80"/>
      <c r="Q15" s="7"/>
    </row>
    <row r="16" spans="2:17" x14ac:dyDescent="0.45">
      <c r="B16" s="18" t="s">
        <v>56</v>
      </c>
      <c r="C16" s="159">
        <v>23440</v>
      </c>
      <c r="D16" s="56" t="str">
        <f t="shared" si="1"/>
        <v>Small</v>
      </c>
      <c r="E16" s="162">
        <v>8.3662790000000001E-2</v>
      </c>
      <c r="F16" s="162">
        <v>0.23</v>
      </c>
      <c r="G16" s="162">
        <v>7.2167256122129209E-2</v>
      </c>
      <c r="H16" s="165">
        <v>0.26902958152958151</v>
      </c>
      <c r="I16" s="36">
        <v>0.48</v>
      </c>
      <c r="J16" s="162">
        <v>0.12438408845090734</v>
      </c>
      <c r="K16" s="162">
        <v>1.2850082372322899E-2</v>
      </c>
      <c r="L16" s="84">
        <v>1584688</v>
      </c>
      <c r="M16" s="79" t="s">
        <v>4</v>
      </c>
      <c r="N16" s="79"/>
      <c r="O16" s="79"/>
      <c r="P16" s="80"/>
      <c r="Q16" s="7"/>
    </row>
    <row r="17" spans="2:17" x14ac:dyDescent="0.45">
      <c r="B17" s="18" t="s">
        <v>57</v>
      </c>
      <c r="C17" s="159">
        <v>23000</v>
      </c>
      <c r="D17" s="56" t="str">
        <f t="shared" si="1"/>
        <v>Small</v>
      </c>
      <c r="E17" s="162">
        <v>9.8974709999999994E-2</v>
      </c>
      <c r="F17" s="162">
        <v>0.20399999999999999</v>
      </c>
      <c r="G17" s="162">
        <v>9.2726707246634385E-2</v>
      </c>
      <c r="H17" s="165">
        <v>0.24108864278348205</v>
      </c>
      <c r="I17" s="36">
        <v>0.38700000000000001</v>
      </c>
      <c r="J17" s="162">
        <v>0.10947055258663435</v>
      </c>
      <c r="K17" s="162">
        <v>1.3102458447150332E-2</v>
      </c>
      <c r="L17" s="84">
        <v>703878</v>
      </c>
      <c r="M17" s="79" t="s">
        <v>4</v>
      </c>
      <c r="N17" s="79"/>
      <c r="O17" s="79"/>
      <c r="P17" s="80"/>
      <c r="Q17" s="7"/>
    </row>
    <row r="18" spans="2:17" x14ac:dyDescent="0.45">
      <c r="B18" s="18" t="s">
        <v>58</v>
      </c>
      <c r="C18" s="159">
        <v>193000</v>
      </c>
      <c r="D18" s="56" t="str">
        <f t="shared" si="1"/>
        <v>Large</v>
      </c>
      <c r="E18" s="162">
        <v>5.375133E-2</v>
      </c>
      <c r="F18" s="162">
        <v>0.13699999999999998</v>
      </c>
      <c r="G18" s="162">
        <v>6.5085252435783877E-2</v>
      </c>
      <c r="H18" s="165">
        <v>0.18767801513128615</v>
      </c>
      <c r="I18" s="36">
        <v>0.27600000000000002</v>
      </c>
      <c r="J18" s="162">
        <v>6.4709260039046049E-2</v>
      </c>
      <c r="K18" s="162">
        <v>2.1095839220861116E-2</v>
      </c>
      <c r="L18" s="84">
        <v>3814900</v>
      </c>
      <c r="M18" s="79" t="s">
        <v>4</v>
      </c>
      <c r="N18" s="79"/>
      <c r="O18" s="79"/>
      <c r="P18" s="80"/>
      <c r="Q18" s="7"/>
    </row>
    <row r="19" spans="2:17" x14ac:dyDescent="0.45">
      <c r="B19" s="18" t="s">
        <v>59</v>
      </c>
      <c r="C19" s="159">
        <v>112250</v>
      </c>
      <c r="D19" s="56" t="str">
        <f t="shared" si="1"/>
        <v>Medium</v>
      </c>
      <c r="E19" s="162">
        <v>0.10093575</v>
      </c>
      <c r="F19" s="162">
        <v>0.222</v>
      </c>
      <c r="G19" s="162">
        <v>7.483175318261126E-2</v>
      </c>
      <c r="H19" s="165">
        <v>0.27764111677500819</v>
      </c>
      <c r="I19" s="36">
        <v>0.41199999999999998</v>
      </c>
      <c r="J19" s="162">
        <v>0.10892266853651207</v>
      </c>
      <c r="K19" s="162">
        <v>1.1854937610714216E-2</v>
      </c>
      <c r="L19" s="84">
        <v>444652</v>
      </c>
      <c r="M19" s="79" t="s">
        <v>4</v>
      </c>
      <c r="N19" s="79"/>
      <c r="O19" s="79"/>
      <c r="P19" s="80"/>
      <c r="Q19" s="7"/>
    </row>
    <row r="20" spans="2:17" x14ac:dyDescent="0.45">
      <c r="B20" s="27" t="s">
        <v>91</v>
      </c>
      <c r="C20" s="53">
        <v>1990</v>
      </c>
      <c r="D20" s="53" t="str">
        <f t="shared" si="1"/>
        <v>Extra Small</v>
      </c>
      <c r="E20" s="54"/>
      <c r="F20" s="54"/>
      <c r="G20" s="54">
        <v>7.0267435762978503E-2</v>
      </c>
      <c r="H20" s="171">
        <v>0.2425039452919516</v>
      </c>
      <c r="I20" s="54"/>
      <c r="J20" s="54">
        <v>9.668508287292818E-2</v>
      </c>
      <c r="K20" s="54">
        <v>2.7442371020856202E-2</v>
      </c>
      <c r="L20" s="181"/>
      <c r="M20" s="181"/>
      <c r="N20" s="181"/>
      <c r="O20" s="181"/>
      <c r="P20" s="182"/>
      <c r="Q20" s="7"/>
    </row>
    <row r="21" spans="2:17" x14ac:dyDescent="0.45">
      <c r="B21" s="18" t="s">
        <v>60</v>
      </c>
      <c r="C21" s="159">
        <v>7360</v>
      </c>
      <c r="D21" s="56" t="str">
        <f t="shared" si="1"/>
        <v>Extra Small</v>
      </c>
      <c r="E21" s="162">
        <v>7.9334200000000007E-2</v>
      </c>
      <c r="F21" s="162">
        <v>0.155</v>
      </c>
      <c r="G21" s="162">
        <v>5.3181122093832661E-2</v>
      </c>
      <c r="H21" s="165">
        <v>0.27554486272289841</v>
      </c>
      <c r="I21" s="36">
        <v>1</v>
      </c>
      <c r="J21" s="162">
        <v>0.11228389444949954</v>
      </c>
      <c r="K21" s="162">
        <v>6.2718786464410732E-3</v>
      </c>
      <c r="L21" s="84">
        <v>0</v>
      </c>
      <c r="M21" s="79" t="s">
        <v>4</v>
      </c>
      <c r="N21" s="79"/>
      <c r="O21" s="79"/>
      <c r="P21" s="80"/>
      <c r="Q21" s="7"/>
    </row>
    <row r="22" spans="2:17" x14ac:dyDescent="0.45">
      <c r="B22" s="18" t="s">
        <v>61</v>
      </c>
      <c r="C22" s="159">
        <v>7360</v>
      </c>
      <c r="D22" s="56" t="str">
        <f t="shared" si="1"/>
        <v>Extra Small</v>
      </c>
      <c r="E22" s="162">
        <v>9.5802139999999994E-2</v>
      </c>
      <c r="F22" s="162">
        <v>0.122</v>
      </c>
      <c r="G22" s="162">
        <v>9.0896513558384059E-2</v>
      </c>
      <c r="H22" s="165">
        <v>0.27595435976898153</v>
      </c>
      <c r="I22" s="36">
        <v>0.443</v>
      </c>
      <c r="J22" s="162">
        <v>0.1021883920076118</v>
      </c>
      <c r="K22" s="162">
        <v>1.5169194865810968E-2</v>
      </c>
      <c r="L22" s="84">
        <v>172270</v>
      </c>
      <c r="M22" s="79" t="s">
        <v>4</v>
      </c>
      <c r="N22" s="79"/>
      <c r="O22" s="79"/>
      <c r="P22" s="80"/>
      <c r="Q22" s="7"/>
    </row>
    <row r="23" spans="2:17" x14ac:dyDescent="0.45">
      <c r="B23" s="18" t="s">
        <v>62</v>
      </c>
      <c r="C23" s="159">
        <v>25480</v>
      </c>
      <c r="D23" s="56" t="str">
        <f t="shared" si="1"/>
        <v>Small</v>
      </c>
      <c r="E23" s="162">
        <v>4.750973E-2</v>
      </c>
      <c r="F23" s="162">
        <v>0.16399999999999998</v>
      </c>
      <c r="G23" s="162">
        <v>0.13401928148372313</v>
      </c>
      <c r="H23" s="165">
        <v>0.2071000743234381</v>
      </c>
      <c r="I23" s="36">
        <v>0.52200000000000002</v>
      </c>
      <c r="J23" s="162">
        <v>0.18945337620578778</v>
      </c>
      <c r="K23" s="162">
        <v>0.15446440944154463</v>
      </c>
      <c r="L23" s="84">
        <v>729676</v>
      </c>
      <c r="M23" s="79" t="s">
        <v>4</v>
      </c>
      <c r="N23" s="79"/>
      <c r="O23" s="79"/>
      <c r="P23" s="80"/>
      <c r="Q23" s="7"/>
    </row>
    <row r="24" spans="2:17" x14ac:dyDescent="0.45">
      <c r="B24" s="18" t="s">
        <v>63</v>
      </c>
      <c r="C24" s="159">
        <v>221290</v>
      </c>
      <c r="D24" s="56" t="str">
        <f t="shared" si="1"/>
        <v>Large</v>
      </c>
      <c r="E24" s="162">
        <v>7.6263950000000011E-2</v>
      </c>
      <c r="F24" s="162">
        <v>0.184</v>
      </c>
      <c r="G24" s="162">
        <v>8.6331539621126913E-2</v>
      </c>
      <c r="H24" s="165">
        <v>0.26824137573224915</v>
      </c>
      <c r="I24" s="36">
        <v>0.20100000000000001</v>
      </c>
      <c r="J24" s="162">
        <v>0.10373965023348289</v>
      </c>
      <c r="K24" s="162">
        <v>3.5138513530205188E-2</v>
      </c>
      <c r="L24" s="84">
        <v>2298330</v>
      </c>
      <c r="M24" s="79" t="s">
        <v>4</v>
      </c>
      <c r="N24" s="79"/>
      <c r="O24" s="79"/>
      <c r="P24" s="80"/>
      <c r="Q24" s="7"/>
    </row>
    <row r="25" spans="2:17" x14ac:dyDescent="0.45">
      <c r="B25" s="18" t="s">
        <v>64</v>
      </c>
      <c r="C25" s="159">
        <v>23840</v>
      </c>
      <c r="D25" s="56" t="str">
        <f t="shared" si="1"/>
        <v>Small</v>
      </c>
      <c r="E25" s="162">
        <v>8.5968059999999999E-2</v>
      </c>
      <c r="F25" s="162">
        <v>0.13699999999999998</v>
      </c>
      <c r="G25" s="162">
        <v>0.28928833772631035</v>
      </c>
      <c r="H25" s="165">
        <v>0.30349789583239062</v>
      </c>
      <c r="I25" s="36">
        <v>0.63100000000000001</v>
      </c>
      <c r="J25" s="162">
        <v>0.14004805260495701</v>
      </c>
      <c r="K25" s="162">
        <v>4.9472082622527551E-2</v>
      </c>
      <c r="L25" s="84">
        <v>261557</v>
      </c>
      <c r="M25" s="79" t="s">
        <v>4</v>
      </c>
      <c r="N25" s="79"/>
      <c r="O25" s="79"/>
      <c r="P25" s="80"/>
      <c r="Q25" s="7"/>
    </row>
    <row r="26" spans="2:17" x14ac:dyDescent="0.45">
      <c r="B26" s="18" t="s">
        <v>65</v>
      </c>
      <c r="C26" s="159">
        <v>86750</v>
      </c>
      <c r="D26" s="56" t="str">
        <f t="shared" si="1"/>
        <v>Medium</v>
      </c>
      <c r="E26" s="162">
        <v>9.9210980000000004E-2</v>
      </c>
      <c r="F26" s="162">
        <v>0.218</v>
      </c>
      <c r="G26" s="162">
        <v>7.9491348954738486E-2</v>
      </c>
      <c r="H26" s="165">
        <v>0.33520512729383611</v>
      </c>
      <c r="I26" s="36">
        <v>0.45</v>
      </c>
      <c r="J26" s="162">
        <v>9.7927181538266198E-2</v>
      </c>
      <c r="K26" s="162">
        <v>1.3108498984552895E-2</v>
      </c>
      <c r="L26" s="84">
        <v>657998</v>
      </c>
      <c r="M26" s="79" t="s">
        <v>4</v>
      </c>
      <c r="N26" s="79"/>
      <c r="O26" s="79"/>
      <c r="P26" s="80"/>
      <c r="Q26" s="7"/>
    </row>
    <row r="27" spans="2:17" x14ac:dyDescent="0.45">
      <c r="B27" s="18" t="s">
        <v>66</v>
      </c>
      <c r="C27" s="159">
        <v>68190</v>
      </c>
      <c r="D27" s="56" t="str">
        <f t="shared" si="1"/>
        <v>Small</v>
      </c>
      <c r="E27" s="162">
        <v>9.6826550000000011E-2</v>
      </c>
      <c r="F27" s="162">
        <v>0.17399999999999999</v>
      </c>
      <c r="G27" s="162">
        <v>0.12005730659025787</v>
      </c>
      <c r="H27" s="165">
        <v>0.33197549770290963</v>
      </c>
      <c r="I27" s="36">
        <v>0.376</v>
      </c>
      <c r="J27" s="162">
        <v>0.12596828136800087</v>
      </c>
      <c r="K27" s="162">
        <v>3.3411008437123343E-2</v>
      </c>
      <c r="L27" s="84">
        <v>542426</v>
      </c>
      <c r="M27" s="79" t="s">
        <v>4</v>
      </c>
      <c r="N27" s="79"/>
      <c r="O27" s="79"/>
      <c r="P27" s="80"/>
      <c r="Q27" s="7"/>
    </row>
    <row r="28" spans="2:17" x14ac:dyDescent="0.45">
      <c r="B28" s="18" t="s">
        <v>67</v>
      </c>
      <c r="C28" s="159">
        <v>8080</v>
      </c>
      <c r="D28" s="56" t="str">
        <f t="shared" si="1"/>
        <v>Extra Small</v>
      </c>
      <c r="E28" s="162">
        <v>9.3079839999999997E-2</v>
      </c>
      <c r="F28" s="162">
        <v>0.17899999999999999</v>
      </c>
      <c r="G28" s="162">
        <v>8.9506566364911389E-2</v>
      </c>
      <c r="H28" s="165">
        <v>0.32648275862068965</v>
      </c>
      <c r="I28" s="36">
        <v>0.63300000000000001</v>
      </c>
      <c r="J28" s="162">
        <v>0.13104736038024103</v>
      </c>
      <c r="K28" s="162">
        <v>1.7890772128060263E-2</v>
      </c>
      <c r="L28" s="84">
        <v>187877</v>
      </c>
      <c r="M28" s="79" t="s">
        <v>4</v>
      </c>
      <c r="N28" s="79"/>
      <c r="O28" s="79"/>
      <c r="P28" s="80"/>
      <c r="Q28" s="7"/>
    </row>
    <row r="29" spans="2:17" x14ac:dyDescent="0.45">
      <c r="B29" s="18" t="s">
        <v>68</v>
      </c>
      <c r="C29" s="159">
        <v>378880</v>
      </c>
      <c r="D29" s="56" t="str">
        <f t="shared" si="1"/>
        <v>Extra Large</v>
      </c>
      <c r="E29" s="162">
        <v>6.8141679999999996E-2</v>
      </c>
      <c r="F29" s="162">
        <v>0.16600000000000001</v>
      </c>
      <c r="G29" s="162">
        <v>0.1300198979619499</v>
      </c>
      <c r="H29" s="165">
        <v>0.28730761886047818</v>
      </c>
      <c r="I29" s="36">
        <v>0.17499999999999999</v>
      </c>
      <c r="J29" s="162">
        <v>8.6174325107355759E-2</v>
      </c>
      <c r="K29" s="162">
        <v>2.5791358183192822E-2</v>
      </c>
      <c r="L29" s="84">
        <v>4024080</v>
      </c>
      <c r="M29" s="79" t="s">
        <v>4</v>
      </c>
      <c r="N29" s="79"/>
      <c r="O29" s="79"/>
      <c r="P29" s="80"/>
      <c r="Q29" s="7"/>
    </row>
    <row r="30" spans="2:17" x14ac:dyDescent="0.45">
      <c r="B30" s="18" t="s">
        <v>69</v>
      </c>
      <c r="C30" s="159">
        <v>48260</v>
      </c>
      <c r="D30" s="56" t="str">
        <f t="shared" si="1"/>
        <v>Small</v>
      </c>
      <c r="E30" s="162">
        <v>9.7818940000000007E-2</v>
      </c>
      <c r="F30" s="162">
        <v>0.21299999999999999</v>
      </c>
      <c r="G30" s="162">
        <v>0.11814707295169274</v>
      </c>
      <c r="H30" s="165">
        <v>0.28095601322145947</v>
      </c>
      <c r="I30" s="36">
        <v>0.376</v>
      </c>
      <c r="J30" s="162">
        <v>9.4152142042677966E-2</v>
      </c>
      <c r="K30" s="162">
        <v>1.9758771929824562E-2</v>
      </c>
      <c r="L30" s="84">
        <v>1458472</v>
      </c>
      <c r="M30" s="79" t="s">
        <v>4</v>
      </c>
      <c r="N30" s="79"/>
      <c r="O30" s="79"/>
      <c r="P30" s="80"/>
      <c r="Q30" s="7"/>
    </row>
    <row r="31" spans="2:17" x14ac:dyDescent="0.45">
      <c r="B31" s="18" t="s">
        <v>70</v>
      </c>
      <c r="C31" s="159">
        <v>126550</v>
      </c>
      <c r="D31" s="56" t="str">
        <f t="shared" si="1"/>
        <v>Medium</v>
      </c>
      <c r="E31" s="162">
        <v>7.4680110000000008E-2</v>
      </c>
      <c r="F31" s="162">
        <v>0.18100000000000002</v>
      </c>
      <c r="G31" s="162">
        <v>9.5881826320501337E-2</v>
      </c>
      <c r="H31" s="165">
        <v>0.25578581775085596</v>
      </c>
      <c r="I31" s="36">
        <v>0.316</v>
      </c>
      <c r="J31" s="162">
        <v>0.10089543820066277</v>
      </c>
      <c r="K31" s="162">
        <v>2.4106299860542066E-2</v>
      </c>
      <c r="L31" s="84">
        <v>1327242</v>
      </c>
      <c r="M31" s="79" t="s">
        <v>4</v>
      </c>
      <c r="N31" s="79"/>
      <c r="O31" s="79"/>
      <c r="P31" s="80"/>
      <c r="Q31" s="7"/>
    </row>
    <row r="32" spans="2:17" x14ac:dyDescent="0.45">
      <c r="B32" s="18" t="s">
        <v>71</v>
      </c>
      <c r="C32" s="159">
        <v>32030</v>
      </c>
      <c r="D32" s="56" t="str">
        <f t="shared" si="1"/>
        <v>Small</v>
      </c>
      <c r="E32" s="162">
        <v>7.7298069999999997E-2</v>
      </c>
      <c r="F32" s="162">
        <v>0.27100000000000002</v>
      </c>
      <c r="G32" s="162">
        <v>0.10926357990207354</v>
      </c>
      <c r="H32" s="165">
        <v>0.36521673972500096</v>
      </c>
      <c r="I32" s="36">
        <v>0.48399999999999999</v>
      </c>
      <c r="J32" s="162">
        <v>0.1910630959626699</v>
      </c>
      <c r="K32" s="162">
        <v>7.8250132298465336E-2</v>
      </c>
      <c r="L32" s="84">
        <v>474185</v>
      </c>
      <c r="M32" s="79" t="s">
        <v>4</v>
      </c>
      <c r="N32" s="79"/>
      <c r="O32" s="79"/>
      <c r="P32" s="80"/>
      <c r="Q32" s="7"/>
    </row>
    <row r="33" spans="2:17" x14ac:dyDescent="0.45">
      <c r="B33" s="18" t="s">
        <v>72</v>
      </c>
      <c r="C33" s="159">
        <v>347760</v>
      </c>
      <c r="D33" s="56" t="str">
        <f t="shared" si="1"/>
        <v>Large</v>
      </c>
      <c r="E33" s="162">
        <v>6.3607510000000006E-2</v>
      </c>
      <c r="F33" s="162">
        <v>0.192</v>
      </c>
      <c r="G33" s="162">
        <v>0.18943058175608621</v>
      </c>
      <c r="H33" s="165">
        <v>0.27417406553517121</v>
      </c>
      <c r="I33" s="36">
        <v>0.13100000000000001</v>
      </c>
      <c r="J33" s="162">
        <v>0.14741470645743621</v>
      </c>
      <c r="K33" s="162">
        <v>0.10408129343246751</v>
      </c>
      <c r="L33" s="84">
        <v>4647307</v>
      </c>
      <c r="M33" s="79" t="s">
        <v>4</v>
      </c>
      <c r="N33" s="79"/>
      <c r="O33" s="79"/>
      <c r="P33" s="80"/>
      <c r="Q33" s="7"/>
    </row>
    <row r="34" spans="2:17" x14ac:dyDescent="0.45">
      <c r="B34" s="18" t="s">
        <v>73</v>
      </c>
      <c r="C34" s="159">
        <v>12680</v>
      </c>
      <c r="D34" s="56" t="str">
        <f t="shared" si="1"/>
        <v>Extra Small</v>
      </c>
      <c r="E34" s="162">
        <v>6.6599549999999993E-2</v>
      </c>
      <c r="F34" s="162">
        <v>0.312</v>
      </c>
      <c r="G34" s="162">
        <v>0.11404369148461882</v>
      </c>
      <c r="H34" s="165">
        <v>0.29377013963480131</v>
      </c>
      <c r="I34" s="36">
        <v>0.45900000000000002</v>
      </c>
      <c r="J34" s="162">
        <v>0.24689265536723165</v>
      </c>
      <c r="K34" s="162">
        <v>0.15267839876232836</v>
      </c>
      <c r="L34" s="84">
        <v>712823</v>
      </c>
      <c r="M34" s="79" t="s">
        <v>4</v>
      </c>
      <c r="N34" s="79"/>
      <c r="O34" s="79"/>
      <c r="P34" s="80"/>
      <c r="Q34" s="7"/>
    </row>
    <row r="35" spans="2:17" x14ac:dyDescent="0.45">
      <c r="B35" s="18" t="s">
        <v>74</v>
      </c>
      <c r="C35" s="159">
        <v>821730</v>
      </c>
      <c r="D35" s="56" t="str">
        <f t="shared" si="1"/>
        <v>Extra Large</v>
      </c>
      <c r="E35" s="162">
        <v>6.2221129999999999E-2</v>
      </c>
      <c r="F35" s="162">
        <v>0.161</v>
      </c>
      <c r="G35" s="162">
        <v>0.22188526345181289</v>
      </c>
      <c r="H35" s="165">
        <v>0.23381795591069882</v>
      </c>
      <c r="I35" s="36">
        <v>1.2999999999999999E-2</v>
      </c>
      <c r="J35" s="162">
        <v>8.7056662281201555E-2</v>
      </c>
      <c r="K35" s="162">
        <v>8.4254448034793039E-2</v>
      </c>
      <c r="L35" s="84">
        <v>25329190</v>
      </c>
      <c r="M35" s="79" t="s">
        <v>4</v>
      </c>
      <c r="N35" s="79"/>
      <c r="O35" s="79"/>
      <c r="P35" s="80"/>
      <c r="Q35" s="7"/>
    </row>
    <row r="36" spans="2:17" x14ac:dyDescent="0.45">
      <c r="B36" s="48" t="s">
        <v>85</v>
      </c>
      <c r="C36" s="53">
        <f>C20+C38+C43</f>
        <v>31000</v>
      </c>
      <c r="D36" s="53" t="str">
        <f t="shared" si="1"/>
        <v>Small</v>
      </c>
      <c r="E36" s="54">
        <v>8.1669599999999995E-2</v>
      </c>
      <c r="F36" s="54">
        <v>0.13800000000000001</v>
      </c>
      <c r="G36" s="54">
        <v>0.11961331608686772</v>
      </c>
      <c r="H36" s="171">
        <v>0.23854671280276818</v>
      </c>
      <c r="I36" s="54">
        <v>0.41499999999999998</v>
      </c>
      <c r="J36" s="54">
        <v>0.13515598630599354</v>
      </c>
      <c r="K36" s="54">
        <v>5.4470336679592647E-2</v>
      </c>
      <c r="L36" s="183">
        <v>772441</v>
      </c>
      <c r="M36" s="181" t="s">
        <v>4</v>
      </c>
      <c r="N36" s="181"/>
      <c r="O36" s="181"/>
      <c r="P36" s="182"/>
      <c r="Q36" s="7"/>
    </row>
    <row r="37" spans="2:17" x14ac:dyDescent="0.45">
      <c r="B37" s="18" t="s">
        <v>75</v>
      </c>
      <c r="C37" s="159">
        <v>82940</v>
      </c>
      <c r="D37" s="56" t="str">
        <f t="shared" si="1"/>
        <v>Medium</v>
      </c>
      <c r="E37" s="162">
        <v>6.0078370000000006E-2</v>
      </c>
      <c r="F37" s="162">
        <v>0.183</v>
      </c>
      <c r="G37" s="162">
        <v>0.12019354759477814</v>
      </c>
      <c r="H37" s="165">
        <v>0.23463420155701728</v>
      </c>
      <c r="I37" s="36">
        <v>0.19900000000000001</v>
      </c>
      <c r="J37" s="162">
        <v>9.566050387968196E-2</v>
      </c>
      <c r="K37" s="162">
        <v>5.112740819862184E-2</v>
      </c>
      <c r="L37" s="84">
        <v>291010</v>
      </c>
      <c r="M37" s="79" t="s">
        <v>4</v>
      </c>
      <c r="N37" s="79"/>
      <c r="O37" s="79"/>
      <c r="P37" s="80"/>
      <c r="Q37" s="7"/>
    </row>
    <row r="38" spans="2:17" x14ac:dyDescent="0.45">
      <c r="B38" s="27" t="s">
        <v>92</v>
      </c>
      <c r="C38" s="53">
        <v>1770</v>
      </c>
      <c r="D38" s="53" t="str">
        <f t="shared" si="1"/>
        <v>Extra Small</v>
      </c>
      <c r="E38" s="54"/>
      <c r="F38" s="54"/>
      <c r="G38" s="54">
        <v>4.5482866043613707E-2</v>
      </c>
      <c r="H38" s="171">
        <v>0.22423485321673953</v>
      </c>
      <c r="I38" s="54"/>
      <c r="J38" s="54">
        <v>8.6429725363489501E-2</v>
      </c>
      <c r="K38" s="54">
        <v>2.5974025974025974E-3</v>
      </c>
      <c r="L38" s="183"/>
      <c r="M38" s="181"/>
      <c r="N38" s="181"/>
      <c r="O38" s="181"/>
      <c r="P38" s="182"/>
      <c r="Q38" s="7"/>
    </row>
    <row r="39" spans="2:17" x14ac:dyDescent="0.45">
      <c r="B39" s="18" t="s">
        <v>76</v>
      </c>
      <c r="C39" s="159">
        <v>26500</v>
      </c>
      <c r="D39" s="56" t="str">
        <f t="shared" si="1"/>
        <v>Small</v>
      </c>
      <c r="E39" s="162">
        <v>8.2220169999999995E-2</v>
      </c>
      <c r="F39" s="162">
        <v>0.16899999999999998</v>
      </c>
      <c r="G39" s="162">
        <v>7.5088203712225798E-2</v>
      </c>
      <c r="H39" s="165">
        <v>0.25437453094758461</v>
      </c>
      <c r="I39" s="36">
        <v>0.69599999999999995</v>
      </c>
      <c r="J39" s="162">
        <v>9.6828904764352158E-2</v>
      </c>
      <c r="K39" s="162">
        <v>3.1383278345537939E-2</v>
      </c>
      <c r="L39" s="84">
        <v>119798</v>
      </c>
      <c r="M39" s="79" t="s">
        <v>4</v>
      </c>
      <c r="N39" s="79"/>
      <c r="O39" s="79"/>
      <c r="P39" s="80"/>
      <c r="Q39" s="7"/>
    </row>
    <row r="40" spans="2:17" x14ac:dyDescent="0.45">
      <c r="B40" s="18" t="s">
        <v>77</v>
      </c>
      <c r="C40" s="159">
        <v>81160</v>
      </c>
      <c r="D40" s="56" t="str">
        <f t="shared" si="1"/>
        <v>Medium</v>
      </c>
      <c r="E40" s="162">
        <v>7.0862040000000001E-2</v>
      </c>
      <c r="F40" s="162">
        <v>0.184</v>
      </c>
      <c r="G40" s="162">
        <v>0.14515331998231423</v>
      </c>
      <c r="H40" s="165">
        <v>0.2947186267045061</v>
      </c>
      <c r="I40" s="36">
        <v>0.29099999999999998</v>
      </c>
      <c r="J40" s="162">
        <v>0.1782276866667995</v>
      </c>
      <c r="K40" s="162">
        <v>0.10513829579390996</v>
      </c>
      <c r="L40" s="84">
        <v>532317</v>
      </c>
      <c r="M40" s="79" t="s">
        <v>4</v>
      </c>
      <c r="N40" s="79"/>
      <c r="O40" s="79"/>
      <c r="P40" s="80"/>
      <c r="Q40" s="7"/>
    </row>
    <row r="41" spans="2:17" x14ac:dyDescent="0.45">
      <c r="B41" s="18" t="s">
        <v>78</v>
      </c>
      <c r="C41" s="159">
        <v>26840</v>
      </c>
      <c r="D41" s="56" t="str">
        <f t="shared" si="1"/>
        <v>Small</v>
      </c>
      <c r="E41" s="162">
        <v>7.7874589999999994E-2</v>
      </c>
      <c r="F41" s="162">
        <v>0.106</v>
      </c>
      <c r="G41" s="162">
        <v>7.9414476717381277E-2</v>
      </c>
      <c r="H41" s="165">
        <v>0.30462135000395663</v>
      </c>
      <c r="I41" s="36">
        <v>0.42099999999999999</v>
      </c>
      <c r="J41" s="162">
        <v>7.6918634867471275E-2</v>
      </c>
      <c r="K41" s="162">
        <v>1.6070990431013329E-2</v>
      </c>
      <c r="L41" s="84">
        <v>153290</v>
      </c>
      <c r="M41" s="79" t="s">
        <v>4</v>
      </c>
      <c r="N41" s="79"/>
      <c r="O41" s="79"/>
      <c r="P41" s="80"/>
      <c r="Q41" s="7"/>
    </row>
    <row r="42" spans="2:17" x14ac:dyDescent="0.45">
      <c r="B42" s="18" t="s">
        <v>79</v>
      </c>
      <c r="C42" s="159">
        <v>7150</v>
      </c>
      <c r="D42" s="56" t="str">
        <f t="shared" si="1"/>
        <v>Extra Small</v>
      </c>
      <c r="E42" s="162">
        <v>6.8052559999999998E-2</v>
      </c>
      <c r="F42" s="162">
        <v>0.14899999999999999</v>
      </c>
      <c r="G42" s="162">
        <v>4.9393414211438474E-2</v>
      </c>
      <c r="H42" s="165">
        <v>0.25040316669110102</v>
      </c>
      <c r="I42" s="36">
        <v>1</v>
      </c>
      <c r="J42" s="162">
        <v>7.5023041474654384E-2</v>
      </c>
      <c r="K42" s="162">
        <v>1.0912397696271597E-2</v>
      </c>
      <c r="L42" s="84">
        <v>0</v>
      </c>
      <c r="M42" s="79" t="s">
        <v>4</v>
      </c>
      <c r="N42" s="79"/>
      <c r="O42" s="79"/>
      <c r="P42" s="80"/>
      <c r="Q42" s="7"/>
    </row>
    <row r="43" spans="2:17" x14ac:dyDescent="0.45">
      <c r="B43" s="27" t="s">
        <v>93</v>
      </c>
      <c r="C43" s="53">
        <v>27240</v>
      </c>
      <c r="D43" s="53" t="str">
        <f t="shared" si="1"/>
        <v>Small</v>
      </c>
      <c r="E43" s="54"/>
      <c r="F43" s="54"/>
      <c r="G43" s="54">
        <v>0.12785123327920822</v>
      </c>
      <c r="H43" s="171">
        <v>0.23915268918812504</v>
      </c>
      <c r="I43" s="54"/>
      <c r="J43" s="54">
        <v>0.1415831163795491</v>
      </c>
      <c r="K43" s="54">
        <v>5.9799430481614464E-2</v>
      </c>
      <c r="L43" s="183"/>
      <c r="M43" s="181"/>
      <c r="N43" s="181"/>
      <c r="O43" s="181"/>
      <c r="P43" s="182"/>
      <c r="Q43" s="7"/>
    </row>
    <row r="44" spans="2:17" x14ac:dyDescent="0.45">
      <c r="B44" s="18" t="s">
        <v>80</v>
      </c>
      <c r="C44" s="159">
        <v>613410</v>
      </c>
      <c r="D44" s="56" t="str">
        <f t="shared" si="1"/>
        <v>Extra Large</v>
      </c>
      <c r="E44" s="162">
        <v>4.2650979999999998E-2</v>
      </c>
      <c r="F44" s="162">
        <v>0.151</v>
      </c>
      <c r="G44" s="162">
        <v>0.2386094692353834</v>
      </c>
      <c r="H44" s="165">
        <v>0.16330220782308263</v>
      </c>
      <c r="I44" s="36">
        <v>5.6000000000000001E-2</v>
      </c>
      <c r="J44" s="162">
        <v>8.3950044504063362E-2</v>
      </c>
      <c r="K44" s="162">
        <v>9.0625859571268771E-2</v>
      </c>
      <c r="L44" s="84">
        <v>8674852</v>
      </c>
      <c r="M44" s="79" t="s">
        <v>4</v>
      </c>
      <c r="N44" s="79"/>
      <c r="O44" s="79"/>
      <c r="P44" s="80"/>
      <c r="Q44" s="7"/>
    </row>
    <row r="45" spans="2:17" x14ac:dyDescent="0.45">
      <c r="B45" s="18" t="s">
        <v>81</v>
      </c>
      <c r="C45" s="159">
        <v>1440</v>
      </c>
      <c r="D45" s="56" t="str">
        <f t="shared" si="1"/>
        <v>Extra Small</v>
      </c>
      <c r="E45" s="162">
        <v>6.5306119999999995E-2</v>
      </c>
      <c r="F45" s="162">
        <v>0.33399999999999996</v>
      </c>
      <c r="G45" s="162">
        <v>6.1711079943899017E-2</v>
      </c>
      <c r="H45" s="165">
        <v>0.3383084577114428</v>
      </c>
      <c r="I45" s="36">
        <v>1</v>
      </c>
      <c r="J45" s="162">
        <v>7.9234972677595633E-2</v>
      </c>
      <c r="K45" s="162">
        <v>7.3637702503681884E-4</v>
      </c>
      <c r="L45" s="84">
        <v>6791</v>
      </c>
      <c r="M45" s="79" t="s">
        <v>4</v>
      </c>
      <c r="N45" s="79"/>
      <c r="O45" s="79"/>
      <c r="P45" s="80"/>
      <c r="Q45" s="7"/>
    </row>
    <row r="46" spans="2:17" x14ac:dyDescent="0.45">
      <c r="B46" s="19" t="s">
        <v>82</v>
      </c>
      <c r="C46" s="160">
        <v>108060</v>
      </c>
      <c r="D46" s="57" t="str">
        <f t="shared" si="1"/>
        <v>Medium</v>
      </c>
      <c r="E46" s="163">
        <v>6.2846349999999995E-2</v>
      </c>
      <c r="F46" s="163">
        <v>0.184</v>
      </c>
      <c r="G46" s="163">
        <v>0.11686572914659989</v>
      </c>
      <c r="H46" s="166">
        <v>0.21567317522496532</v>
      </c>
      <c r="I46" s="37">
        <v>0.22600000000000001</v>
      </c>
      <c r="J46" s="163">
        <v>0.11749373577949944</v>
      </c>
      <c r="K46" s="163">
        <v>5.2806933273375781E-2</v>
      </c>
      <c r="L46" s="85">
        <v>1553242</v>
      </c>
      <c r="M46" s="81" t="s">
        <v>4</v>
      </c>
      <c r="N46" s="81"/>
      <c r="O46" s="81"/>
      <c r="P46" s="82"/>
      <c r="Q46" s="7"/>
    </row>
    <row r="47" spans="2:17" ht="14.65" thickBot="1" x14ac:dyDescent="0.5">
      <c r="C47" s="16">
        <f>SUM(C10:C46)-C36</f>
        <v>4236400</v>
      </c>
      <c r="D47" s="51"/>
    </row>
    <row r="48" spans="2:17" ht="14.65" thickTop="1" x14ac:dyDescent="0.45"/>
    <row r="49" spans="11:11" x14ac:dyDescent="0.45">
      <c r="K49" s="38"/>
    </row>
    <row r="50" spans="11:11" x14ac:dyDescent="0.45">
      <c r="K50" s="38"/>
    </row>
    <row r="51" spans="11:11" x14ac:dyDescent="0.45">
      <c r="K51" s="38"/>
    </row>
    <row r="52" spans="11:11" x14ac:dyDescent="0.4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customWidth="1"/>
    <col min="5" max="5" width="14.1328125" customWidth="1"/>
    <col min="6" max="6" width="10" bestFit="1" customWidth="1"/>
    <col min="7" max="7" width="13.59765625" bestFit="1" customWidth="1"/>
  </cols>
  <sheetData>
    <row r="3" spans="2:6" x14ac:dyDescent="0.45">
      <c r="B3" t="s">
        <v>0</v>
      </c>
      <c r="C3" s="1">
        <f>'County Data'!C5</f>
        <v>63910417</v>
      </c>
    </row>
    <row r="4" spans="2:6" x14ac:dyDescent="0.45">
      <c r="B4" t="s">
        <v>41</v>
      </c>
      <c r="C4" s="14">
        <f>'County Data'!C9</f>
        <v>0</v>
      </c>
    </row>
    <row r="6" spans="2:6" s="2" customFormat="1" ht="28.5" x14ac:dyDescent="0.4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45">
      <c r="B7" s="20" t="str">
        <f>+'County Data'!$B$10</f>
        <v>Baker</v>
      </c>
      <c r="C7" s="15">
        <f>VLOOKUP($B7,'County Data'!$B$10:$P$46,2,FALSE)</f>
        <v>16820</v>
      </c>
      <c r="D7" s="6">
        <f t="shared" ref="D7:D40" si="0">C7/$C$41</f>
        <v>3.9703521858181472E-3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45">
      <c r="B8" s="20" t="str">
        <f>+'County Data'!$B$19</f>
        <v>Douglas</v>
      </c>
      <c r="C8" s="15">
        <f>VLOOKUP($B8,'County Data'!$B$10:$P$46,2,FALSE)</f>
        <v>112250</v>
      </c>
      <c r="D8" s="6">
        <f t="shared" si="0"/>
        <v>2.6496553677650837E-2</v>
      </c>
      <c r="E8" s="14">
        <f t="shared" si="1"/>
        <v>0</v>
      </c>
      <c r="F8" s="10">
        <f t="shared" si="2"/>
        <v>0</v>
      </c>
    </row>
    <row r="9" spans="2:6" x14ac:dyDescent="0.45">
      <c r="B9" s="20" t="str">
        <f>+'County Data'!$B$23</f>
        <v>Hood River</v>
      </c>
      <c r="C9" s="15">
        <f>VLOOKUP($B9,'County Data'!$B$10:$P$46,2,FALSE)</f>
        <v>25480</v>
      </c>
      <c r="D9" s="6">
        <f t="shared" si="0"/>
        <v>6.014540647719762E-3</v>
      </c>
      <c r="E9" s="14">
        <f t="shared" si="1"/>
        <v>0</v>
      </c>
      <c r="F9" s="10">
        <f t="shared" si="2"/>
        <v>0</v>
      </c>
    </row>
    <row r="10" spans="2:6" x14ac:dyDescent="0.45">
      <c r="B10" s="20" t="str">
        <f>+'County Data'!$B$24</f>
        <v>Jackson</v>
      </c>
      <c r="C10" s="15">
        <f>VLOOKUP($B10,'County Data'!$B$10:$P$46,2,FALSE)</f>
        <v>221290</v>
      </c>
      <c r="D10" s="6">
        <f t="shared" si="0"/>
        <v>5.2235388537437449E-2</v>
      </c>
      <c r="E10" s="14">
        <f t="shared" si="1"/>
        <v>0</v>
      </c>
      <c r="F10" s="10">
        <f t="shared" si="2"/>
        <v>0</v>
      </c>
    </row>
    <row r="11" spans="2:6" x14ac:dyDescent="0.45">
      <c r="B11" s="20" t="str">
        <f>+'County Data'!$B$25</f>
        <v>Jefferson</v>
      </c>
      <c r="C11" s="15">
        <f>VLOOKUP($B11,'County Data'!$B$10:$P$46,2,FALSE)</f>
        <v>23840</v>
      </c>
      <c r="D11" s="6">
        <f t="shared" si="0"/>
        <v>5.6274195071286939E-3</v>
      </c>
      <c r="E11" s="14">
        <f t="shared" si="1"/>
        <v>0</v>
      </c>
      <c r="F11" s="10">
        <f t="shared" si="2"/>
        <v>0</v>
      </c>
    </row>
    <row r="12" spans="2:6" x14ac:dyDescent="0.45">
      <c r="B12" s="20" t="str">
        <f>+'County Data'!$B$26</f>
        <v>Josephine</v>
      </c>
      <c r="C12" s="15">
        <f>VLOOKUP($B12,'County Data'!$B$10:$P$46,2,FALSE)</f>
        <v>86750</v>
      </c>
      <c r="D12" s="6">
        <f t="shared" si="0"/>
        <v>2.0477292040411672E-2</v>
      </c>
      <c r="E12" s="14">
        <f t="shared" si="1"/>
        <v>0</v>
      </c>
      <c r="F12" s="10">
        <f t="shared" si="2"/>
        <v>0</v>
      </c>
    </row>
    <row r="13" spans="2:6" x14ac:dyDescent="0.45">
      <c r="B13" s="20" t="str">
        <f>+'County Data'!$B$27</f>
        <v>Klamath</v>
      </c>
      <c r="C13" s="15">
        <f>VLOOKUP($B13,'County Data'!$B$10:$P$46,2,FALSE)</f>
        <v>68190</v>
      </c>
      <c r="D13" s="6">
        <f t="shared" si="0"/>
        <v>1.6096213766405437E-2</v>
      </c>
      <c r="E13" s="14">
        <f t="shared" si="1"/>
        <v>0</v>
      </c>
      <c r="F13" s="10">
        <f t="shared" si="2"/>
        <v>0</v>
      </c>
    </row>
    <row r="14" spans="2:6" x14ac:dyDescent="0.45">
      <c r="B14" s="20" t="str">
        <f>+'County Data'!$B$29</f>
        <v>Lane</v>
      </c>
      <c r="C14" s="15">
        <f>VLOOKUP($B14,'County Data'!$B$10:$P$46,2,FALSE)</f>
        <v>378880</v>
      </c>
      <c r="D14" s="6">
        <f t="shared" si="0"/>
        <v>8.9434425455575492E-2</v>
      </c>
      <c r="E14" s="14">
        <f t="shared" si="1"/>
        <v>0</v>
      </c>
      <c r="F14" s="10">
        <f t="shared" si="2"/>
        <v>0</v>
      </c>
    </row>
    <row r="15" spans="2:6" x14ac:dyDescent="0.45">
      <c r="B15" s="20" t="str">
        <f>+'County Data'!$B$11</f>
        <v>Benton</v>
      </c>
      <c r="C15" s="15">
        <f>VLOOKUP($B15,'County Data'!$B$10:$P$46,2,FALSE)</f>
        <v>94360</v>
      </c>
      <c r="D15" s="6">
        <f t="shared" si="0"/>
        <v>2.2273628552544614E-2</v>
      </c>
      <c r="E15" s="14">
        <f t="shared" si="1"/>
        <v>0</v>
      </c>
      <c r="F15" s="10">
        <f t="shared" si="2"/>
        <v>0</v>
      </c>
    </row>
    <row r="16" spans="2:6" x14ac:dyDescent="0.45">
      <c r="B16" s="20" t="str">
        <f>+'County Data'!$B$30</f>
        <v>Lincoln</v>
      </c>
      <c r="C16" s="15">
        <f>VLOOKUP($B16,'County Data'!$B$10:$P$46,2,FALSE)</f>
        <v>48260</v>
      </c>
      <c r="D16" s="6">
        <f t="shared" si="0"/>
        <v>1.1391747710320083E-2</v>
      </c>
      <c r="E16" s="14">
        <f t="shared" si="1"/>
        <v>0</v>
      </c>
      <c r="F16" s="10">
        <f t="shared" si="2"/>
        <v>0</v>
      </c>
    </row>
    <row r="17" spans="2:6" x14ac:dyDescent="0.45">
      <c r="B17" s="20" t="str">
        <f>+'County Data'!$B$31</f>
        <v>Linn</v>
      </c>
      <c r="C17" s="15">
        <f>VLOOKUP($B17,'County Data'!$B$10:$P$46,2,FALSE)</f>
        <v>126550</v>
      </c>
      <c r="D17" s="6">
        <f t="shared" si="0"/>
        <v>2.9872061184024173E-2</v>
      </c>
      <c r="E17" s="14">
        <f t="shared" si="1"/>
        <v>0</v>
      </c>
      <c r="F17" s="10">
        <f t="shared" si="2"/>
        <v>0</v>
      </c>
    </row>
    <row r="18" spans="2:6" x14ac:dyDescent="0.45">
      <c r="B18" s="20" t="str">
        <f>+'County Data'!$B$32</f>
        <v>Malheur</v>
      </c>
      <c r="C18" s="15">
        <f>VLOOKUP($B18,'County Data'!$B$10:$P$46,2,FALSE)</f>
        <v>32030</v>
      </c>
      <c r="D18" s="6">
        <f t="shared" si="0"/>
        <v>7.5606647153243318E-3</v>
      </c>
      <c r="E18" s="14">
        <f t="shared" si="1"/>
        <v>0</v>
      </c>
      <c r="F18" s="10">
        <f t="shared" si="2"/>
        <v>0</v>
      </c>
    </row>
    <row r="19" spans="2:6" x14ac:dyDescent="0.45">
      <c r="B19" s="20" t="str">
        <f>+'County Data'!$B$33</f>
        <v>Marion</v>
      </c>
      <c r="C19" s="15">
        <f>VLOOKUP($B19,'County Data'!$B$10:$P$46,2,FALSE)</f>
        <v>347760</v>
      </c>
      <c r="D19" s="6">
        <f t="shared" si="0"/>
        <v>8.2088565763384011E-2</v>
      </c>
      <c r="E19" s="14">
        <f t="shared" si="1"/>
        <v>0</v>
      </c>
      <c r="F19" s="10">
        <f t="shared" si="2"/>
        <v>0</v>
      </c>
    </row>
    <row r="20" spans="2:6" x14ac:dyDescent="0.45">
      <c r="B20" s="20" t="str">
        <f>+'County Data'!$B$34</f>
        <v>Morrow</v>
      </c>
      <c r="C20" s="15">
        <f>VLOOKUP($B20,'County Data'!$B$10:$P$46,2,FALSE)</f>
        <v>12680</v>
      </c>
      <c r="D20" s="6">
        <f t="shared" si="0"/>
        <v>2.9931073553016714E-3</v>
      </c>
      <c r="E20" s="14">
        <f t="shared" si="1"/>
        <v>0</v>
      </c>
      <c r="F20" s="10">
        <f t="shared" si="2"/>
        <v>0</v>
      </c>
    </row>
    <row r="21" spans="2:6" x14ac:dyDescent="0.45">
      <c r="B21" s="20" t="str">
        <f>+'County Data'!$B$35</f>
        <v>Multnomah</v>
      </c>
      <c r="C21" s="15">
        <f>VLOOKUP($B21,'County Data'!$B$10:$P$46,2,FALSE)</f>
        <v>821730</v>
      </c>
      <c r="D21" s="6">
        <f t="shared" si="0"/>
        <v>0.19396893588896233</v>
      </c>
      <c r="E21" s="14">
        <f t="shared" si="1"/>
        <v>0</v>
      </c>
      <c r="F21" s="10">
        <f t="shared" si="2"/>
        <v>0</v>
      </c>
    </row>
    <row r="22" spans="2:6" x14ac:dyDescent="0.45">
      <c r="B22" s="20" t="str">
        <f>+'County Data'!$B$36</f>
        <v>Gilliam, Sherman, Wasco</v>
      </c>
      <c r="C22" s="15">
        <f>VLOOKUP($B22,'County Data'!$B$10:$P$46,2,FALSE)</f>
        <v>31000</v>
      </c>
      <c r="D22" s="6">
        <f t="shared" si="0"/>
        <v>7.3175337550750634E-3</v>
      </c>
      <c r="E22" s="14">
        <f t="shared" si="1"/>
        <v>0</v>
      </c>
      <c r="F22" s="10">
        <f t="shared" si="2"/>
        <v>0</v>
      </c>
    </row>
    <row r="23" spans="2:6" x14ac:dyDescent="0.45">
      <c r="B23" s="20" t="str">
        <f>+'County Data'!$B$37</f>
        <v>Polk</v>
      </c>
      <c r="C23" s="15">
        <f>VLOOKUP($B23,'County Data'!$B$10:$P$46,2,FALSE)</f>
        <v>82940</v>
      </c>
      <c r="D23" s="6">
        <f t="shared" si="0"/>
        <v>1.9577943536965348E-2</v>
      </c>
      <c r="E23" s="14">
        <f t="shared" si="1"/>
        <v>0</v>
      </c>
      <c r="F23" s="10">
        <f t="shared" si="2"/>
        <v>0</v>
      </c>
    </row>
    <row r="24" spans="2:6" x14ac:dyDescent="0.45">
      <c r="B24" s="20" t="str">
        <f>+'County Data'!$B$39</f>
        <v>Tillamook</v>
      </c>
      <c r="C24" s="15">
        <f>VLOOKUP($B24,'County Data'!$B$10:$P$46,2,FALSE)</f>
        <v>26500</v>
      </c>
      <c r="D24" s="6">
        <f t="shared" si="0"/>
        <v>6.2553111132093286E-3</v>
      </c>
      <c r="E24" s="14">
        <f t="shared" si="1"/>
        <v>0</v>
      </c>
      <c r="F24" s="10">
        <f t="shared" si="2"/>
        <v>0</v>
      </c>
    </row>
    <row r="25" spans="2:6" x14ac:dyDescent="0.45">
      <c r="B25" s="20" t="str">
        <f>+'County Data'!$B$40</f>
        <v>Umatilla</v>
      </c>
      <c r="C25" s="15">
        <f>VLOOKUP($B25,'County Data'!$B$10:$P$46,2,FALSE)</f>
        <v>81160</v>
      </c>
      <c r="D25" s="6">
        <f t="shared" si="0"/>
        <v>1.9157775469738458E-2</v>
      </c>
      <c r="E25" s="14">
        <f t="shared" si="1"/>
        <v>0</v>
      </c>
      <c r="F25" s="10">
        <f t="shared" si="2"/>
        <v>0</v>
      </c>
    </row>
    <row r="26" spans="2:6" x14ac:dyDescent="0.45">
      <c r="B26" s="20" t="str">
        <f>+'County Data'!$B$12</f>
        <v>Clackamas</v>
      </c>
      <c r="C26" s="15">
        <f>VLOOKUP($B26,'County Data'!$B$10:$P$46,2,FALSE)</f>
        <v>423420</v>
      </c>
      <c r="D26" s="6">
        <f t="shared" si="0"/>
        <v>9.9948069115286559E-2</v>
      </c>
      <c r="E26" s="14">
        <f t="shared" si="1"/>
        <v>0</v>
      </c>
      <c r="F26" s="10">
        <f t="shared" si="2"/>
        <v>0</v>
      </c>
    </row>
    <row r="27" spans="2:6" x14ac:dyDescent="0.4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6.3355679350391844E-3</v>
      </c>
      <c r="E27" s="14">
        <f t="shared" si="1"/>
        <v>0</v>
      </c>
      <c r="F27" s="10">
        <f t="shared" si="2"/>
        <v>0</v>
      </c>
    </row>
    <row r="28" spans="2:6" x14ac:dyDescent="0.45">
      <c r="B28" s="20" t="str">
        <f>+'County Data'!$B$44</f>
        <v>Washington</v>
      </c>
      <c r="C28" s="15">
        <f>VLOOKUP($B28,'County Data'!$B$10:$P$46,2,FALSE)</f>
        <v>613410</v>
      </c>
      <c r="D28" s="6">
        <f t="shared" si="0"/>
        <v>0.1447951090548579</v>
      </c>
      <c r="E28" s="14">
        <f t="shared" si="1"/>
        <v>0</v>
      </c>
      <c r="F28" s="10">
        <f t="shared" si="2"/>
        <v>0</v>
      </c>
    </row>
    <row r="29" spans="2:6" x14ac:dyDescent="0.45">
      <c r="B29" s="20" t="str">
        <f>+'County Data'!$B$46</f>
        <v>Yamhill</v>
      </c>
      <c r="C29" s="15">
        <f>VLOOKUP($B29,'County Data'!$B$10:$P$46,2,FALSE)</f>
        <v>108060</v>
      </c>
      <c r="D29" s="6">
        <f t="shared" si="0"/>
        <v>2.5507506373335851E-2</v>
      </c>
      <c r="E29" s="14">
        <f t="shared" si="1"/>
        <v>0</v>
      </c>
      <c r="F29" s="10">
        <f t="shared" si="2"/>
        <v>0</v>
      </c>
    </row>
    <row r="30" spans="2:6" x14ac:dyDescent="0.45">
      <c r="B30" s="20" t="str">
        <f>+'County Data'!$B$13</f>
        <v>Clatsop</v>
      </c>
      <c r="C30" s="15">
        <f>VLOOKUP($B30,'County Data'!$B$10:$P$46,2,FALSE)</f>
        <v>39330</v>
      </c>
      <c r="D30" s="6">
        <f t="shared" si="0"/>
        <v>9.2838258899065242E-3</v>
      </c>
      <c r="E30" s="14">
        <f t="shared" si="1"/>
        <v>0</v>
      </c>
      <c r="F30" s="10">
        <f t="shared" si="2"/>
        <v>0</v>
      </c>
    </row>
    <row r="31" spans="2:6" x14ac:dyDescent="0.45">
      <c r="B31" s="20" t="str">
        <f>+'County Data'!$B$14</f>
        <v>Columbia</v>
      </c>
      <c r="C31" s="15">
        <f>VLOOKUP($B31,'County Data'!$B$10:$P$46,2,FALSE)</f>
        <v>52750</v>
      </c>
      <c r="D31" s="6">
        <f t="shared" si="0"/>
        <v>1.2451609857426117E-2</v>
      </c>
      <c r="E31" s="14">
        <f t="shared" si="1"/>
        <v>0</v>
      </c>
      <c r="F31" s="10">
        <f t="shared" si="2"/>
        <v>0</v>
      </c>
    </row>
    <row r="32" spans="2:6" x14ac:dyDescent="0.45">
      <c r="B32" s="20" t="str">
        <f>+'County Data'!$B$15</f>
        <v>Coos</v>
      </c>
      <c r="C32" s="15">
        <f>VLOOKUP($B32,'County Data'!$B$10:$P$46,2,FALSE)</f>
        <v>63290</v>
      </c>
      <c r="D32" s="6">
        <f t="shared" si="0"/>
        <v>1.4939571334151637E-2</v>
      </c>
      <c r="E32" s="14">
        <f t="shared" si="1"/>
        <v>0</v>
      </c>
      <c r="F32" s="10">
        <f t="shared" si="2"/>
        <v>0</v>
      </c>
    </row>
    <row r="33" spans="2:6" x14ac:dyDescent="0.4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5.5329997167406289E-3</v>
      </c>
      <c r="E33" s="14">
        <f t="shared" si="1"/>
        <v>0</v>
      </c>
      <c r="F33" s="10">
        <f t="shared" si="2"/>
        <v>0</v>
      </c>
    </row>
    <row r="34" spans="2:6" x14ac:dyDescent="0.45">
      <c r="B34" s="20" t="str">
        <f>+'County Data'!$B$17</f>
        <v>Curry</v>
      </c>
      <c r="C34" s="15">
        <f>VLOOKUP($B34,'County Data'!$B$10:$P$46,2,FALSE)</f>
        <v>23000</v>
      </c>
      <c r="D34" s="6">
        <f t="shared" si="0"/>
        <v>5.4291379473137566E-3</v>
      </c>
      <c r="E34" s="14">
        <f t="shared" si="1"/>
        <v>0</v>
      </c>
      <c r="F34" s="10">
        <f t="shared" si="2"/>
        <v>0</v>
      </c>
    </row>
    <row r="35" spans="2:6" x14ac:dyDescent="0.45">
      <c r="B35" s="20" t="str">
        <f>+'County Data'!$B$18</f>
        <v>Deschutes</v>
      </c>
      <c r="C35" s="15">
        <f>VLOOKUP($B35,'County Data'!$B$10:$P$46,2,FALSE)</f>
        <v>193000</v>
      </c>
      <c r="D35" s="6">
        <f t="shared" si="0"/>
        <v>4.5557548862241525E-2</v>
      </c>
      <c r="E35" s="14">
        <f t="shared" si="1"/>
        <v>0</v>
      </c>
      <c r="F35" s="10">
        <f t="shared" si="2"/>
        <v>0</v>
      </c>
    </row>
    <row r="36" spans="2:6" x14ac:dyDescent="0.45">
      <c r="B36" s="20" t="str">
        <f>+'County Data'!$B$21</f>
        <v>Grant</v>
      </c>
      <c r="C36" s="15">
        <f>VLOOKUP($B36,'County Data'!$B$10:$P$46,2,FALSE)</f>
        <v>7360</v>
      </c>
      <c r="D36" s="6">
        <f t="shared" si="0"/>
        <v>1.7373241431404023E-3</v>
      </c>
      <c r="E36" s="14">
        <f t="shared" si="1"/>
        <v>0</v>
      </c>
      <c r="F36" s="10">
        <f t="shared" si="2"/>
        <v>0</v>
      </c>
    </row>
    <row r="37" spans="2:6" x14ac:dyDescent="0.45">
      <c r="B37" s="20" t="str">
        <f>+'County Data'!$B$22</f>
        <v>Harney</v>
      </c>
      <c r="C37" s="15">
        <f>VLOOKUP($B37,'County Data'!$B$10:$P$46,2,FALSE)</f>
        <v>7360</v>
      </c>
      <c r="D37" s="6">
        <f t="shared" si="0"/>
        <v>1.7373241431404023E-3</v>
      </c>
      <c r="E37" s="14">
        <f t="shared" si="1"/>
        <v>0</v>
      </c>
      <c r="F37" s="10">
        <f t="shared" si="2"/>
        <v>0</v>
      </c>
    </row>
    <row r="38" spans="2:6" x14ac:dyDescent="0.45">
      <c r="B38" s="20" t="str">
        <f>+'County Data'!$B$28</f>
        <v>Lake</v>
      </c>
      <c r="C38" s="15">
        <f>VLOOKUP($B38,'County Data'!$B$10:$P$46,2,FALSE)</f>
        <v>8080</v>
      </c>
      <c r="D38" s="6">
        <f t="shared" si="0"/>
        <v>1.9072797658389198E-3</v>
      </c>
      <c r="E38" s="14">
        <f t="shared" si="1"/>
        <v>0</v>
      </c>
      <c r="F38" s="10">
        <f t="shared" si="2"/>
        <v>0</v>
      </c>
    </row>
    <row r="39" spans="2:6" x14ac:dyDescent="0.45">
      <c r="B39" s="20" t="str">
        <f>+'County Data'!$B$42</f>
        <v>Wallowa</v>
      </c>
      <c r="C39" s="15">
        <f>VLOOKUP($B39,'County Data'!$B$10:$P$46,2,FALSE)</f>
        <v>7150</v>
      </c>
      <c r="D39" s="6">
        <f t="shared" si="0"/>
        <v>1.6877537531866679E-3</v>
      </c>
      <c r="E39" s="14">
        <f t="shared" si="1"/>
        <v>0</v>
      </c>
      <c r="F39" s="10">
        <f t="shared" si="2"/>
        <v>0</v>
      </c>
    </row>
    <row r="40" spans="2:6" x14ac:dyDescent="0.4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3.3991124539703524E-4</v>
      </c>
      <c r="E40" s="14">
        <f t="shared" si="1"/>
        <v>0</v>
      </c>
      <c r="F40" s="10">
        <f t="shared" si="2"/>
        <v>0</v>
      </c>
    </row>
    <row r="41" spans="2:6" x14ac:dyDescent="0.45">
      <c r="B41" s="4" t="s">
        <v>2</v>
      </c>
      <c r="C41" s="5">
        <f t="shared" ref="C41:D41" si="3">SUM(C7:C40)</f>
        <v>4236400</v>
      </c>
      <c r="D41" s="8">
        <f t="shared" si="3"/>
        <v>1.0000000000000002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12.1328125" bestFit="1" customWidth="1"/>
    <col min="5" max="5" width="14.1328125" customWidth="1"/>
    <col min="6" max="6" width="10" bestFit="1" customWidth="1"/>
    <col min="7" max="7" width="13.59765625" bestFit="1" customWidth="1"/>
    <col min="8" max="8" width="10.73046875" bestFit="1" customWidth="1"/>
    <col min="10" max="10" width="10.86328125" bestFit="1" customWidth="1"/>
  </cols>
  <sheetData>
    <row r="3" spans="2:20" x14ac:dyDescent="0.45">
      <c r="B3" t="s">
        <v>0</v>
      </c>
      <c r="C3" s="1">
        <f>'County Data'!C5</f>
        <v>63910417</v>
      </c>
    </row>
    <row r="4" spans="2:20" x14ac:dyDescent="0.45">
      <c r="B4" t="s">
        <v>41</v>
      </c>
      <c r="C4" s="14">
        <f>C3*Input!C7</f>
        <v>11791471.9365</v>
      </c>
    </row>
    <row r="6" spans="2:20" s="2" customFormat="1" ht="28.5" x14ac:dyDescent="0.4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  <c r="P6" s="2" t="s">
        <v>146</v>
      </c>
      <c r="Q6" s="2" t="s">
        <v>147</v>
      </c>
    </row>
    <row r="7" spans="2:20" x14ac:dyDescent="0.45">
      <c r="B7" s="20" t="str">
        <f>+'County Data'!$B$10</f>
        <v>Baker</v>
      </c>
      <c r="C7" s="15">
        <f>VLOOKUP($B7,'County Data'!$B$10:$P$46,2,FALSE)</f>
        <v>16820</v>
      </c>
      <c r="D7" s="15" t="str">
        <f>VLOOKUP($B7,'County Data'!$B$10:$P$46,3,FALSE)</f>
        <v>Extra Small</v>
      </c>
      <c r="E7" s="14">
        <f>VLOOKUP(D7,$H$7:$J$11,3,FALSE)</f>
        <v>190185.03123387095</v>
      </c>
      <c r="F7" s="10">
        <f t="shared" ref="F7:F42" si="0">E7/C7</f>
        <v>11.307076767768784</v>
      </c>
      <c r="H7" t="s">
        <v>44</v>
      </c>
      <c r="I7" s="7">
        <f>Input!$C$8</f>
        <v>2.975806451612903E-3</v>
      </c>
      <c r="J7" s="60">
        <f>$C$3*I7</f>
        <v>190185.03123387095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45">
      <c r="B8" s="20" t="str">
        <f>+'County Data'!$B$11</f>
        <v>Benton</v>
      </c>
      <c r="C8" s="15">
        <f>VLOOKUP($B8,'County Data'!$B$10:$P$46,2,FALSE)</f>
        <v>94360</v>
      </c>
      <c r="D8" s="15" t="str">
        <f>VLOOKUP($B8,'County Data'!$B$10:$P$46,3,FALSE)</f>
        <v>Medium</v>
      </c>
      <c r="E8" s="14">
        <f t="shared" ref="E8:E42" si="1">VLOOKUP(D8,$H$7:$J$11,3,FALSE)</f>
        <v>380370.0624677419</v>
      </c>
      <c r="F8" s="10">
        <f t="shared" si="0"/>
        <v>4.0310519549357977</v>
      </c>
      <c r="H8" t="s">
        <v>45</v>
      </c>
      <c r="I8" s="7">
        <f>Input!$C$9</f>
        <v>4.4637096774193547E-3</v>
      </c>
      <c r="J8" s="60">
        <f t="shared" ref="J8:J11" si="2">$C$3*I8</f>
        <v>285277.54685080645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45">
      <c r="B9" s="20" t="str">
        <f>+'County Data'!$B$12</f>
        <v>Clackamas</v>
      </c>
      <c r="C9" s="15">
        <f>VLOOKUP($B9,'County Data'!$B$10:$P$46,2,FALSE)</f>
        <v>423420</v>
      </c>
      <c r="D9" s="15" t="str">
        <f>VLOOKUP($B9,'County Data'!$B$10:$P$46,3,FALSE)</f>
        <v>Extra Large</v>
      </c>
      <c r="E9" s="14">
        <f t="shared" si="1"/>
        <v>570555.0937016129</v>
      </c>
      <c r="F9" s="10">
        <f t="shared" si="0"/>
        <v>1.3474920733588704</v>
      </c>
      <c r="H9" t="s">
        <v>46</v>
      </c>
      <c r="I9" s="7">
        <f>Input!$C$10</f>
        <v>5.951612903225806E-3</v>
      </c>
      <c r="J9" s="60">
        <f t="shared" si="2"/>
        <v>380370.0624677419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45">
      <c r="B10" s="20" t="str">
        <f>+'County Data'!$B$13</f>
        <v>Clatsop</v>
      </c>
      <c r="C10" s="15">
        <f>VLOOKUP($B10,'County Data'!$B$10:$P$46,2,FALSE)</f>
        <v>39330</v>
      </c>
      <c r="D10" s="15" t="str">
        <f>VLOOKUP($B10,'County Data'!$B$10:$P$46,3,FALSE)</f>
        <v>Small</v>
      </c>
      <c r="E10" s="14">
        <f t="shared" si="1"/>
        <v>285277.54685080645</v>
      </c>
      <c r="F10" s="10">
        <f t="shared" si="0"/>
        <v>7.2534336855023254</v>
      </c>
      <c r="H10" t="s">
        <v>47</v>
      </c>
      <c r="I10" s="7">
        <f>Input!$C$11</f>
        <v>7.4395161290322573E-3</v>
      </c>
      <c r="J10" s="60">
        <f t="shared" si="2"/>
        <v>475462.57808467734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45">
      <c r="B11" s="20" t="str">
        <f>+'County Data'!$B$14</f>
        <v>Columbia</v>
      </c>
      <c r="C11" s="15">
        <f>VLOOKUP($B11,'County Data'!$B$10:$P$46,2,FALSE)</f>
        <v>52750</v>
      </c>
      <c r="D11" s="15" t="str">
        <f>VLOOKUP($B11,'County Data'!$B$10:$P$46,3,FALSE)</f>
        <v>Small</v>
      </c>
      <c r="E11" s="14">
        <f t="shared" si="1"/>
        <v>285277.54685080645</v>
      </c>
      <c r="F11" s="10">
        <f t="shared" si="0"/>
        <v>5.4081051535697906</v>
      </c>
      <c r="H11" t="s">
        <v>48</v>
      </c>
      <c r="I11" s="7">
        <f>Input!$C$12</f>
        <v>8.9274193548387094E-3</v>
      </c>
      <c r="J11" s="60">
        <f t="shared" si="2"/>
        <v>570555.0937016129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45">
      <c r="B12" s="20" t="str">
        <f>+'County Data'!$B$15</f>
        <v>Coos</v>
      </c>
      <c r="C12" s="15">
        <f>VLOOKUP($B12,'County Data'!$B$10:$P$46,2,FALSE)</f>
        <v>63290</v>
      </c>
      <c r="D12" s="15" t="str">
        <f>VLOOKUP($B12,'County Data'!$B$10:$P$46,3,FALSE)</f>
        <v>Small</v>
      </c>
      <c r="E12" s="14">
        <f t="shared" si="1"/>
        <v>285277.54685080645</v>
      </c>
      <c r="F12" s="10">
        <f t="shared" si="0"/>
        <v>4.5074663746374855</v>
      </c>
      <c r="R12">
        <f>SUM(R7:R11)</f>
        <v>62</v>
      </c>
      <c r="S12" s="188">
        <f>1/R12</f>
        <v>1.6129032258064516E-2</v>
      </c>
      <c r="T12" s="70" t="s">
        <v>148</v>
      </c>
    </row>
    <row r="13" spans="2:20" x14ac:dyDescent="0.4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285277.54685080645</v>
      </c>
      <c r="F13" s="10">
        <f t="shared" si="0"/>
        <v>12.170543807628261</v>
      </c>
    </row>
    <row r="14" spans="2:20" x14ac:dyDescent="0.45">
      <c r="B14" s="20" t="str">
        <f>+'County Data'!$B$17</f>
        <v>Curry</v>
      </c>
      <c r="C14" s="15">
        <f>VLOOKUP($B14,'County Data'!$B$10:$P$46,2,FALSE)</f>
        <v>23000</v>
      </c>
      <c r="D14" s="15" t="str">
        <f>VLOOKUP($B14,'County Data'!$B$10:$P$46,3,FALSE)</f>
        <v>Small</v>
      </c>
      <c r="E14" s="14">
        <f t="shared" si="1"/>
        <v>285277.54685080645</v>
      </c>
      <c r="F14" s="10">
        <f t="shared" si="0"/>
        <v>12.403371602208976</v>
      </c>
    </row>
    <row r="15" spans="2:20" x14ac:dyDescent="0.45">
      <c r="B15" s="20" t="str">
        <f>+'County Data'!$B$18</f>
        <v>Deschutes</v>
      </c>
      <c r="C15" s="15">
        <f>VLOOKUP($B15,'County Data'!$B$10:$P$46,2,FALSE)</f>
        <v>193000</v>
      </c>
      <c r="D15" s="15" t="str">
        <f>VLOOKUP($B15,'County Data'!$B$10:$P$46,3,FALSE)</f>
        <v>Large</v>
      </c>
      <c r="E15" s="14">
        <f t="shared" si="1"/>
        <v>475462.57808467734</v>
      </c>
      <c r="F15" s="10">
        <f t="shared" si="0"/>
        <v>2.4635366740138722</v>
      </c>
    </row>
    <row r="16" spans="2:20" x14ac:dyDescent="0.45">
      <c r="B16" s="20" t="str">
        <f>+'County Data'!$B$19</f>
        <v>Douglas</v>
      </c>
      <c r="C16" s="15">
        <f>VLOOKUP($B16,'County Data'!$B$10:$P$46,2,FALSE)</f>
        <v>112250</v>
      </c>
      <c r="D16" s="15" t="str">
        <f>VLOOKUP($B16,'County Data'!$B$10:$P$46,3,FALSE)</f>
        <v>Medium</v>
      </c>
      <c r="E16" s="14">
        <f t="shared" si="1"/>
        <v>380370.0624677419</v>
      </c>
      <c r="F16" s="10">
        <f t="shared" si="0"/>
        <v>3.3885974384654065</v>
      </c>
    </row>
    <row r="17" spans="2:6" x14ac:dyDescent="0.45">
      <c r="B17" s="184" t="str">
        <f>+'County Data'!$B$20</f>
        <v>Gilliam</v>
      </c>
      <c r="C17" s="185">
        <f>VLOOKUP($B17,'County Data'!$B$10:$P$46,2,FALSE)</f>
        <v>1990</v>
      </c>
      <c r="D17" s="185" t="str">
        <f>VLOOKUP($B17,'County Data'!$B$10:$P$46,3,FALSE)</f>
        <v>Extra Small</v>
      </c>
      <c r="E17" s="187">
        <f t="shared" si="1"/>
        <v>190185.03123387095</v>
      </c>
      <c r="F17" s="186">
        <f t="shared" si="0"/>
        <v>95.570367454206504</v>
      </c>
    </row>
    <row r="18" spans="2:6" x14ac:dyDescent="0.45">
      <c r="B18" s="20" t="str">
        <f>+'County Data'!$B$21</f>
        <v>Grant</v>
      </c>
      <c r="C18" s="15">
        <f>VLOOKUP($B18,'County Data'!$B$10:$P$46,2,FALSE)</f>
        <v>7360</v>
      </c>
      <c r="D18" s="15" t="str">
        <f>VLOOKUP($B18,'County Data'!$B$10:$P$46,3,FALSE)</f>
        <v>Extra Small</v>
      </c>
      <c r="E18" s="14">
        <f t="shared" si="1"/>
        <v>190185.03123387095</v>
      </c>
      <c r="F18" s="10">
        <f t="shared" si="0"/>
        <v>25.840357504602032</v>
      </c>
    </row>
    <row r="19" spans="2:6" x14ac:dyDescent="0.45">
      <c r="B19" s="20" t="str">
        <f>+'County Data'!$B$22</f>
        <v>Harney</v>
      </c>
      <c r="C19" s="15">
        <f>VLOOKUP($B19,'County Data'!$B$10:$P$46,2,FALSE)</f>
        <v>7360</v>
      </c>
      <c r="D19" s="15" t="str">
        <f>VLOOKUP($B19,'County Data'!$B$10:$P$46,3,FALSE)</f>
        <v>Extra Small</v>
      </c>
      <c r="E19" s="14">
        <f t="shared" si="1"/>
        <v>190185.03123387095</v>
      </c>
      <c r="F19" s="10">
        <f t="shared" si="0"/>
        <v>25.840357504602032</v>
      </c>
    </row>
    <row r="20" spans="2:6" x14ac:dyDescent="0.45">
      <c r="B20" s="20" t="str">
        <f>+'County Data'!$B$23</f>
        <v>Hood River</v>
      </c>
      <c r="C20" s="15">
        <f>VLOOKUP($B20,'County Data'!$B$10:$P$46,2,FALSE)</f>
        <v>25480</v>
      </c>
      <c r="D20" s="15" t="str">
        <f>VLOOKUP($B20,'County Data'!$B$10:$P$46,3,FALSE)</f>
        <v>Small</v>
      </c>
      <c r="E20" s="14">
        <f t="shared" si="1"/>
        <v>285277.54685080645</v>
      </c>
      <c r="F20" s="10">
        <f t="shared" si="0"/>
        <v>11.196136061648605</v>
      </c>
    </row>
    <row r="21" spans="2:6" x14ac:dyDescent="0.45">
      <c r="B21" s="20" t="str">
        <f>+'County Data'!$B$24</f>
        <v>Jackson</v>
      </c>
      <c r="C21" s="15">
        <f>VLOOKUP($B21,'County Data'!$B$10:$P$46,2,FALSE)</f>
        <v>221290</v>
      </c>
      <c r="D21" s="15" t="str">
        <f>VLOOKUP($B21,'County Data'!$B$10:$P$46,3,FALSE)</f>
        <v>Large</v>
      </c>
      <c r="E21" s="14">
        <f t="shared" si="1"/>
        <v>475462.57808467734</v>
      </c>
      <c r="F21" s="10">
        <f t="shared" si="0"/>
        <v>2.1485949572266136</v>
      </c>
    </row>
    <row r="22" spans="2:6" x14ac:dyDescent="0.45">
      <c r="B22" s="20" t="str">
        <f>+'County Data'!$B$25</f>
        <v>Jefferson</v>
      </c>
      <c r="C22" s="15">
        <f>VLOOKUP($B22,'County Data'!$B$10:$P$46,2,FALSE)</f>
        <v>23840</v>
      </c>
      <c r="D22" s="15" t="str">
        <f>VLOOKUP($B22,'County Data'!$B$10:$P$46,3,FALSE)</f>
        <v>Small</v>
      </c>
      <c r="E22" s="14">
        <f t="shared" si="1"/>
        <v>285277.54685080645</v>
      </c>
      <c r="F22" s="10">
        <f t="shared" si="0"/>
        <v>11.966340052466714</v>
      </c>
    </row>
    <row r="23" spans="2:6" x14ac:dyDescent="0.45">
      <c r="B23" s="20" t="str">
        <f>+'County Data'!$B$26</f>
        <v>Josephine</v>
      </c>
      <c r="C23" s="15">
        <f>VLOOKUP($B23,'County Data'!$B$10:$P$46,2,FALSE)</f>
        <v>86750</v>
      </c>
      <c r="D23" s="15" t="str">
        <f>VLOOKUP($B23,'County Data'!$B$10:$P$46,3,FALSE)</f>
        <v>Medium</v>
      </c>
      <c r="E23" s="14">
        <f t="shared" si="1"/>
        <v>380370.0624677419</v>
      </c>
      <c r="F23" s="10">
        <f t="shared" si="0"/>
        <v>4.3846693079854973</v>
      </c>
    </row>
    <row r="24" spans="2:6" x14ac:dyDescent="0.45">
      <c r="B24" s="20" t="str">
        <f>+'County Data'!$B$27</f>
        <v>Klamath</v>
      </c>
      <c r="C24" s="15">
        <f>VLOOKUP($B24,'County Data'!$B$10:$P$46,2,FALSE)</f>
        <v>68190</v>
      </c>
      <c r="D24" s="15" t="str">
        <f>VLOOKUP($B24,'County Data'!$B$10:$P$46,3,FALSE)</f>
        <v>Small</v>
      </c>
      <c r="E24" s="14">
        <f t="shared" si="1"/>
        <v>285277.54685080645</v>
      </c>
      <c r="F24" s="10">
        <f t="shared" si="0"/>
        <v>4.1835686589060925</v>
      </c>
    </row>
    <row r="25" spans="2:6" x14ac:dyDescent="0.45">
      <c r="B25" s="20" t="str">
        <f>+'County Data'!$B$28</f>
        <v>Lake</v>
      </c>
      <c r="C25" s="15">
        <f>VLOOKUP($B25,'County Data'!$B$10:$P$46,2,FALSE)</f>
        <v>8080</v>
      </c>
      <c r="D25" s="15" t="str">
        <f>VLOOKUP($B25,'County Data'!$B$10:$P$46,3,FALSE)</f>
        <v>Extra Small</v>
      </c>
      <c r="E25" s="14">
        <f t="shared" si="1"/>
        <v>190185.03123387095</v>
      </c>
      <c r="F25" s="10">
        <f t="shared" si="0"/>
        <v>23.537751390330563</v>
      </c>
    </row>
    <row r="26" spans="2:6" x14ac:dyDescent="0.45">
      <c r="B26" s="20" t="str">
        <f>+'County Data'!$B$29</f>
        <v>Lane</v>
      </c>
      <c r="C26" s="15">
        <f>VLOOKUP($B26,'County Data'!$B$10:$P$46,2,FALSE)</f>
        <v>378880</v>
      </c>
      <c r="D26" s="15" t="str">
        <f>VLOOKUP($B26,'County Data'!$B$10:$P$46,3,FALSE)</f>
        <v>Extra Large</v>
      </c>
      <c r="E26" s="14">
        <f t="shared" si="1"/>
        <v>570555.0937016129</v>
      </c>
      <c r="F26" s="10">
        <f t="shared" si="0"/>
        <v>1.5058992126837334</v>
      </c>
    </row>
    <row r="27" spans="2:6" x14ac:dyDescent="0.45">
      <c r="B27" s="20" t="str">
        <f>+'County Data'!$B$30</f>
        <v>Lincoln</v>
      </c>
      <c r="C27" s="15">
        <f>VLOOKUP($B27,'County Data'!$B$10:$P$46,2,FALSE)</f>
        <v>48260</v>
      </c>
      <c r="D27" s="15" t="str">
        <f>VLOOKUP($B27,'County Data'!$B$10:$P$46,3,FALSE)</f>
        <v>Small</v>
      </c>
      <c r="E27" s="14">
        <f>VLOOKUP(D27,$H$7:$J$11,3,FALSE)</f>
        <v>285277.54685080645</v>
      </c>
      <c r="F27" s="10">
        <f t="shared" si="0"/>
        <v>5.9112628854290605</v>
      </c>
    </row>
    <row r="28" spans="2:6" x14ac:dyDescent="0.45">
      <c r="B28" s="20" t="str">
        <f>+'County Data'!$B$31</f>
        <v>Linn</v>
      </c>
      <c r="C28" s="15">
        <f>VLOOKUP($B28,'County Data'!$B$10:$P$46,2,FALSE)</f>
        <v>126550</v>
      </c>
      <c r="D28" s="15" t="str">
        <f>VLOOKUP($B28,'County Data'!$B$10:$P$46,3,FALSE)</f>
        <v>Medium</v>
      </c>
      <c r="E28" s="14">
        <f t="shared" si="1"/>
        <v>380370.0624677419</v>
      </c>
      <c r="F28" s="10">
        <f t="shared" si="0"/>
        <v>3.005689944430991</v>
      </c>
    </row>
    <row r="29" spans="2:6" x14ac:dyDescent="0.45">
      <c r="B29" s="20" t="str">
        <f>+'County Data'!$B$32</f>
        <v>Malheur</v>
      </c>
      <c r="C29" s="15">
        <f>VLOOKUP($B29,'County Data'!$B$10:$P$46,2,FALSE)</f>
        <v>32030</v>
      </c>
      <c r="D29" s="15" t="str">
        <f>VLOOKUP($B29,'County Data'!$B$10:$P$46,3,FALSE)</f>
        <v>Small</v>
      </c>
      <c r="E29" s="14">
        <f t="shared" si="1"/>
        <v>285277.54685080645</v>
      </c>
      <c r="F29" s="10">
        <f t="shared" si="0"/>
        <v>8.9065734265003567</v>
      </c>
    </row>
    <row r="30" spans="2:6" x14ac:dyDescent="0.45">
      <c r="B30" s="20" t="str">
        <f>+'County Data'!$B$33</f>
        <v>Marion</v>
      </c>
      <c r="C30" s="15">
        <f>VLOOKUP($B30,'County Data'!$B$10:$P$46,2,FALSE)</f>
        <v>347760</v>
      </c>
      <c r="D30" s="15" t="str">
        <f>VLOOKUP($B30,'County Data'!$B$10:$P$46,3,FALSE)</f>
        <v>Large</v>
      </c>
      <c r="E30" s="14">
        <f t="shared" si="1"/>
        <v>475462.57808467734</v>
      </c>
      <c r="F30" s="10">
        <f t="shared" si="0"/>
        <v>1.3672146827831761</v>
      </c>
    </row>
    <row r="31" spans="2:6" x14ac:dyDescent="0.45">
      <c r="B31" s="20" t="str">
        <f>+'County Data'!$B$34</f>
        <v>Morrow</v>
      </c>
      <c r="C31" s="15">
        <f>VLOOKUP($B31,'County Data'!$B$10:$P$46,2,FALSE)</f>
        <v>12680</v>
      </c>
      <c r="D31" s="15" t="str">
        <f>VLOOKUP($B31,'County Data'!$B$10:$P$46,3,FALSE)</f>
        <v>Extra Small</v>
      </c>
      <c r="E31" s="14">
        <f t="shared" si="1"/>
        <v>190185.03123387095</v>
      </c>
      <c r="F31" s="10">
        <f t="shared" si="0"/>
        <v>14.998819497939349</v>
      </c>
    </row>
    <row r="32" spans="2:6" x14ac:dyDescent="0.45">
      <c r="B32" s="20" t="str">
        <f>+'County Data'!$B$35</f>
        <v>Multnomah</v>
      </c>
      <c r="C32" s="15">
        <f>VLOOKUP($B32,'County Data'!$B$10:$P$46,2,FALSE)</f>
        <v>821730</v>
      </c>
      <c r="D32" s="15" t="str">
        <f>VLOOKUP($B32,'County Data'!$B$10:$P$46,3,FALSE)</f>
        <v>Extra Large</v>
      </c>
      <c r="E32" s="14">
        <f t="shared" si="1"/>
        <v>570555.0937016129</v>
      </c>
      <c r="F32" s="10">
        <f t="shared" si="0"/>
        <v>0.6943340193270453</v>
      </c>
    </row>
    <row r="33" spans="2:6" x14ac:dyDescent="0.45">
      <c r="B33" s="20" t="str">
        <f>+'County Data'!$B$37</f>
        <v>Polk</v>
      </c>
      <c r="C33" s="15">
        <f>VLOOKUP($B33,'County Data'!$B$10:$P$46,2,FALSE)</f>
        <v>82940</v>
      </c>
      <c r="D33" s="15" t="str">
        <f>VLOOKUP($B33,'County Data'!$B$10:$P$46,3,FALSE)</f>
        <v>Medium</v>
      </c>
      <c r="E33" s="14">
        <f t="shared" si="1"/>
        <v>380370.0624677419</v>
      </c>
      <c r="F33" s="10">
        <f t="shared" si="0"/>
        <v>4.5860870806334928</v>
      </c>
    </row>
    <row r="34" spans="2:6" x14ac:dyDescent="0.45">
      <c r="B34" s="184" t="str">
        <f>+'County Data'!$B$38</f>
        <v>Sherman</v>
      </c>
      <c r="C34" s="185">
        <f>VLOOKUP($B34,'County Data'!$B$10:$P$46,2,FALSE)</f>
        <v>1770</v>
      </c>
      <c r="D34" s="185" t="str">
        <f>VLOOKUP($B34,'County Data'!$B$10:$P$46,3,FALSE)</f>
        <v>Extra Small</v>
      </c>
      <c r="E34" s="187">
        <f t="shared" si="1"/>
        <v>190185.03123387095</v>
      </c>
      <c r="F34" s="186">
        <f t="shared" si="0"/>
        <v>107.44917018862765</v>
      </c>
    </row>
    <row r="35" spans="2:6" x14ac:dyDescent="0.45">
      <c r="B35" s="20" t="str">
        <f>+'County Data'!$B$39</f>
        <v>Tillamook</v>
      </c>
      <c r="C35" s="15">
        <f>VLOOKUP($B35,'County Data'!$B$10:$P$46,2,FALSE)</f>
        <v>26500</v>
      </c>
      <c r="D35" s="15" t="str">
        <f>VLOOKUP($B35,'County Data'!$B$10:$P$46,3,FALSE)</f>
        <v>Small</v>
      </c>
      <c r="E35" s="14">
        <f t="shared" si="1"/>
        <v>285277.54685080645</v>
      </c>
      <c r="F35" s="10">
        <f t="shared" si="0"/>
        <v>10.765190447200244</v>
      </c>
    </row>
    <row r="36" spans="2:6" x14ac:dyDescent="0.45">
      <c r="B36" s="20" t="str">
        <f>+'County Data'!$B$40</f>
        <v>Umatilla</v>
      </c>
      <c r="C36" s="15">
        <f>VLOOKUP($B36,'County Data'!$B$10:$P$46,2,FALSE)</f>
        <v>81160</v>
      </c>
      <c r="D36" s="15" t="str">
        <f>VLOOKUP($B36,'County Data'!$B$10:$P$46,3,FALSE)</f>
        <v>Medium</v>
      </c>
      <c r="E36" s="14">
        <f t="shared" si="1"/>
        <v>380370.0624677419</v>
      </c>
      <c r="F36" s="10">
        <f t="shared" si="0"/>
        <v>4.6866690791983974</v>
      </c>
    </row>
    <row r="37" spans="2:6" x14ac:dyDescent="0.4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285277.54685080645</v>
      </c>
      <c r="F37" s="10">
        <f t="shared" si="0"/>
        <v>10.628820672533772</v>
      </c>
    </row>
    <row r="38" spans="2:6" x14ac:dyDescent="0.45">
      <c r="B38" s="20" t="str">
        <f>+'County Data'!$B$42</f>
        <v>Wallowa</v>
      </c>
      <c r="C38" s="15">
        <f>VLOOKUP($B38,'County Data'!$B$10:$P$46,2,FALSE)</f>
        <v>7150</v>
      </c>
      <c r="D38" s="15" t="str">
        <f>VLOOKUP($B38,'County Data'!$B$10:$P$46,3,FALSE)</f>
        <v>Extra Small</v>
      </c>
      <c r="E38" s="14">
        <f t="shared" si="1"/>
        <v>190185.03123387095</v>
      </c>
      <c r="F38" s="10">
        <f t="shared" si="0"/>
        <v>26.599305067674258</v>
      </c>
    </row>
    <row r="39" spans="2:6" x14ac:dyDescent="0.45">
      <c r="B39" s="184" t="str">
        <f>+'County Data'!$B$43</f>
        <v>Wasco</v>
      </c>
      <c r="C39" s="185">
        <f>VLOOKUP($B39,'County Data'!$B$10:$P$46,2,FALSE)</f>
        <v>27240</v>
      </c>
      <c r="D39" s="185" t="str">
        <f>VLOOKUP($B39,'County Data'!$B$10:$P$46,3,FALSE)</f>
        <v>Small</v>
      </c>
      <c r="E39" s="187">
        <f t="shared" si="1"/>
        <v>285277.54685080645</v>
      </c>
      <c r="F39" s="186">
        <f t="shared" si="0"/>
        <v>10.472744010675713</v>
      </c>
    </row>
    <row r="40" spans="2:6" x14ac:dyDescent="0.45">
      <c r="B40" s="20" t="str">
        <f>+'County Data'!$B$44</f>
        <v>Washington</v>
      </c>
      <c r="C40" s="15">
        <f>VLOOKUP($B40,'County Data'!$B$10:$P$46,2,FALSE)</f>
        <v>613410</v>
      </c>
      <c r="D40" s="15" t="str">
        <f>VLOOKUP($B40,'County Data'!$B$10:$P$46,3,FALSE)</f>
        <v>Extra Large</v>
      </c>
      <c r="E40" s="14">
        <f t="shared" si="1"/>
        <v>570555.0937016129</v>
      </c>
      <c r="F40" s="10">
        <f t="shared" si="0"/>
        <v>0.9301366030902869</v>
      </c>
    </row>
    <row r="41" spans="2:6" x14ac:dyDescent="0.4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190185.03123387095</v>
      </c>
      <c r="F41" s="10">
        <f t="shared" si="0"/>
        <v>132.07293835685482</v>
      </c>
    </row>
    <row r="42" spans="2:6" x14ac:dyDescent="0.45">
      <c r="B42" s="20" t="str">
        <f>+'County Data'!$B$46</f>
        <v>Yamhill</v>
      </c>
      <c r="C42" s="15">
        <f>VLOOKUP($B42,'County Data'!$B$10:$P$46,2,FALSE)</f>
        <v>108060</v>
      </c>
      <c r="D42" s="15" t="str">
        <f>VLOOKUP($B42,'County Data'!$B$10:$P$46,3,FALSE)</f>
        <v>Medium</v>
      </c>
      <c r="E42" s="14">
        <f t="shared" si="1"/>
        <v>380370.0624677419</v>
      </c>
      <c r="F42" s="10">
        <f t="shared" si="0"/>
        <v>3.5199894731421608</v>
      </c>
    </row>
    <row r="43" spans="2:6" x14ac:dyDescent="0.45">
      <c r="B43" s="4" t="s">
        <v>2</v>
      </c>
      <c r="C43" s="5">
        <f t="shared" ref="C43:D43" si="3">SUM(C7:C42)</f>
        <v>4236400</v>
      </c>
      <c r="D43" s="8">
        <f t="shared" si="3"/>
        <v>0</v>
      </c>
      <c r="E43" s="11">
        <f>SUM(E7:E42)</f>
        <v>11791471.936500002</v>
      </c>
      <c r="F43" s="12">
        <f t="shared" ref="F43" si="4">E43/C43</f>
        <v>2.7833707715277125</v>
      </c>
    </row>
    <row r="44" spans="2:6" x14ac:dyDescent="0.45">
      <c r="E44" s="22">
        <f>E43-C4</f>
        <v>0</v>
      </c>
    </row>
    <row r="45" spans="2:6" x14ac:dyDescent="0.45">
      <c r="B45" s="58" t="s">
        <v>85</v>
      </c>
      <c r="C45" s="59">
        <f>SUM(C17,C34,C39)</f>
        <v>31000</v>
      </c>
      <c r="D45" s="58"/>
      <c r="E45" s="59">
        <f>SUM(E17,E34,E39)</f>
        <v>665647.60931854835</v>
      </c>
      <c r="F45" s="10">
        <f>E45/C45</f>
        <v>21.472503526404786</v>
      </c>
    </row>
    <row r="51" spans="13:19" x14ac:dyDescent="0.45">
      <c r="N51">
        <v>1.6299999999999999E-2</v>
      </c>
    </row>
    <row r="52" spans="13:19" x14ac:dyDescent="0.45">
      <c r="N52" t="s">
        <v>146</v>
      </c>
      <c r="Q52" t="s">
        <v>145</v>
      </c>
    </row>
    <row r="53" spans="13:19" x14ac:dyDescent="0.45">
      <c r="M53" t="s">
        <v>140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45">
      <c r="M54" t="s">
        <v>141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45">
      <c r="M55" t="s">
        <v>142</v>
      </c>
      <c r="N55">
        <v>7</v>
      </c>
      <c r="Q55">
        <v>2</v>
      </c>
      <c r="S55">
        <f>Q55*N55</f>
        <v>14</v>
      </c>
    </row>
    <row r="56" spans="13:19" x14ac:dyDescent="0.45">
      <c r="M56" t="s">
        <v>143</v>
      </c>
      <c r="N56">
        <v>3</v>
      </c>
      <c r="Q56">
        <v>2.5</v>
      </c>
      <c r="S56">
        <f>Q56*N56</f>
        <v>7.5</v>
      </c>
    </row>
    <row r="57" spans="13:19" x14ac:dyDescent="0.45">
      <c r="M57" t="s">
        <v>144</v>
      </c>
      <c r="N57">
        <v>4</v>
      </c>
      <c r="Q57">
        <v>3</v>
      </c>
      <c r="S57">
        <f>Q57*N57</f>
        <v>12</v>
      </c>
    </row>
    <row r="58" spans="13:19" x14ac:dyDescent="0.45">
      <c r="N58">
        <f>SUM(N53:N57)</f>
        <v>36</v>
      </c>
      <c r="S58">
        <f>SUM(S53:S57)</f>
        <v>62</v>
      </c>
    </row>
    <row r="59" spans="13:19" x14ac:dyDescent="0.4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4.25" x14ac:dyDescent="0.45"/>
  <cols>
    <col min="1" max="1" width="9.1328125" customWidth="1"/>
    <col min="2" max="2" width="17.3984375" bestFit="1" customWidth="1"/>
    <col min="3" max="3" width="11.86328125" bestFit="1" customWidth="1"/>
    <col min="4" max="5" width="10.59765625" bestFit="1" customWidth="1"/>
    <col min="6" max="6" width="9.73046875" bestFit="1" customWidth="1"/>
    <col min="7" max="7" width="14.1328125" customWidth="1"/>
    <col min="8" max="8" width="10" bestFit="1" customWidth="1"/>
    <col min="11" max="11" width="10.59765625" bestFit="1" customWidth="1"/>
  </cols>
  <sheetData>
    <row r="3" spans="2:11" x14ac:dyDescent="0.45">
      <c r="B3" t="s">
        <v>0</v>
      </c>
      <c r="C3" s="1">
        <f>'County Data'!C5</f>
        <v>63910417</v>
      </c>
    </row>
    <row r="4" spans="2:11" x14ac:dyDescent="0.45">
      <c r="B4" t="s">
        <v>41</v>
      </c>
      <c r="C4" s="14">
        <f>'County Data'!E9</f>
        <v>8686490.8439166658</v>
      </c>
      <c r="D4" s="9"/>
    </row>
    <row r="5" spans="2:11" x14ac:dyDescent="0.45">
      <c r="B5" s="26"/>
      <c r="C5" s="26"/>
      <c r="D5" s="26"/>
      <c r="E5" s="26"/>
      <c r="F5" s="26"/>
      <c r="G5" s="26"/>
      <c r="H5" s="26"/>
    </row>
    <row r="6" spans="2:11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45">
      <c r="B7" s="20" t="str">
        <f>'County Data'!$B$11</f>
        <v>Benton</v>
      </c>
      <c r="C7" s="15">
        <f>VLOOKUP($B7,'County Data'!$B$10:$L$46,2,FALSE)</f>
        <v>94360</v>
      </c>
      <c r="D7" s="34">
        <f>VLOOKUP(B7,'County Data'!$B$10:$L$46,4,FALSE)</f>
        <v>4.0668929999999999E-2</v>
      </c>
      <c r="E7" s="31">
        <f t="shared" ref="E7:E40" si="0">C7*D7</f>
        <v>3837.5202347999998</v>
      </c>
      <c r="F7" s="6">
        <f t="shared" ref="F7:F40" si="1">E7/$E$41</f>
        <v>1.403308537740634E-2</v>
      </c>
      <c r="G7" s="14">
        <f t="shared" ref="G7:G40" si="2">$C$4*F7</f>
        <v>121898.26764274102</v>
      </c>
      <c r="H7" s="10">
        <f t="shared" ref="H7:H40" si="3">G7/C7</f>
        <v>1.2918425990116682</v>
      </c>
      <c r="I7" s="22"/>
      <c r="K7" s="32"/>
    </row>
    <row r="8" spans="2:11" x14ac:dyDescent="0.45">
      <c r="B8" s="20" t="str">
        <f>'County Data'!$B$44</f>
        <v>Washington</v>
      </c>
      <c r="C8" s="15">
        <f>VLOOKUP($B8,'County Data'!$B$10:$L$46,2,FALSE)</f>
        <v>613410</v>
      </c>
      <c r="D8" s="34">
        <f>VLOOKUP(B8,'County Data'!$B$10:$L$46,4,FALSE)</f>
        <v>4.2650979999999998E-2</v>
      </c>
      <c r="E8" s="31">
        <f t="shared" si="0"/>
        <v>26162.537641799998</v>
      </c>
      <c r="F8" s="6">
        <f t="shared" si="1"/>
        <v>9.5671449778328213E-2</v>
      </c>
      <c r="G8" s="14">
        <f t="shared" si="2"/>
        <v>831049.17252368119</v>
      </c>
      <c r="H8" s="10">
        <f t="shared" si="3"/>
        <v>1.3548021266749501</v>
      </c>
      <c r="I8" s="22"/>
    </row>
    <row r="9" spans="2:11" x14ac:dyDescent="0.45">
      <c r="B9" s="20" t="str">
        <f>'County Data'!$B$23</f>
        <v>Hood River</v>
      </c>
      <c r="C9" s="15">
        <f>VLOOKUP($B9,'County Data'!$B$10:$L$46,2,FALSE)</f>
        <v>25480</v>
      </c>
      <c r="D9" s="34">
        <f>VLOOKUP(B9,'County Data'!$B$10:$L$46,4,FALSE)</f>
        <v>4.750973E-2</v>
      </c>
      <c r="E9" s="31">
        <f t="shared" si="0"/>
        <v>1210.5479204000001</v>
      </c>
      <c r="F9" s="6">
        <f t="shared" si="1"/>
        <v>4.4267446895430492E-3</v>
      </c>
      <c r="G9" s="14">
        <f t="shared" si="2"/>
        <v>38452.877214072418</v>
      </c>
      <c r="H9" s="10">
        <f t="shared" si="3"/>
        <v>1.5091396080876145</v>
      </c>
      <c r="I9" s="22"/>
    </row>
    <row r="10" spans="2:11" x14ac:dyDescent="0.45">
      <c r="B10" s="20" t="str">
        <f>'County Data'!$B$12</f>
        <v>Clackamas</v>
      </c>
      <c r="C10" s="15">
        <f>VLOOKUP($B10,'County Data'!$B$10:$L$46,2,FALSE)</f>
        <v>423420</v>
      </c>
      <c r="D10" s="34">
        <f>VLOOKUP(B10,'County Data'!$B$10:$L$46,4,FALSE)</f>
        <v>5.6630379999999994E-2</v>
      </c>
      <c r="E10" s="31">
        <f t="shared" si="0"/>
        <v>23978.435499599997</v>
      </c>
      <c r="F10" s="6">
        <f t="shared" si="1"/>
        <v>8.7684601511959115E-2</v>
      </c>
      <c r="G10" s="14">
        <f t="shared" si="2"/>
        <v>761671.48818611423</v>
      </c>
      <c r="H10" s="10">
        <f t="shared" si="3"/>
        <v>1.7988557181666294</v>
      </c>
      <c r="I10" s="22"/>
    </row>
    <row r="11" spans="2:11" x14ac:dyDescent="0.45">
      <c r="B11" s="20" t="str">
        <f>'County Data'!$B$37</f>
        <v>Polk</v>
      </c>
      <c r="C11" s="15">
        <f>VLOOKUP($B11,'County Data'!$B$10:$L$46,2,FALSE)</f>
        <v>82940</v>
      </c>
      <c r="D11" s="34">
        <f>VLOOKUP(B11,'County Data'!$B$10:$L$46,4,FALSE)</f>
        <v>6.0078370000000006E-2</v>
      </c>
      <c r="E11" s="31">
        <f t="shared" si="0"/>
        <v>4982.9000078000008</v>
      </c>
      <c r="F11" s="6">
        <f t="shared" si="1"/>
        <v>1.8221522482781236E-2</v>
      </c>
      <c r="G11" s="14">
        <f t="shared" si="2"/>
        <v>158281.08820890088</v>
      </c>
      <c r="H11" s="10">
        <f t="shared" si="3"/>
        <v>1.9083806150096561</v>
      </c>
      <c r="I11" s="22"/>
    </row>
    <row r="12" spans="2:11" x14ac:dyDescent="0.45">
      <c r="B12" s="20" t="str">
        <f>'County Data'!$B$18</f>
        <v>Deschutes</v>
      </c>
      <c r="C12" s="15">
        <f>VLOOKUP($B12,'County Data'!$B$10:$L$46,2,FALSE)</f>
        <v>193000</v>
      </c>
      <c r="D12" s="34">
        <f>VLOOKUP(B12,'County Data'!$B$10:$L$46,4,FALSE)</f>
        <v>5.375133E-2</v>
      </c>
      <c r="E12" s="31">
        <f t="shared" si="0"/>
        <v>10374.00669</v>
      </c>
      <c r="F12" s="6">
        <f t="shared" si="1"/>
        <v>3.793577953449976E-2</v>
      </c>
      <c r="G12" s="14">
        <f t="shared" si="2"/>
        <v>329528.80158327339</v>
      </c>
      <c r="H12" s="10">
        <f t="shared" si="3"/>
        <v>1.7074031170117792</v>
      </c>
      <c r="I12" s="22"/>
    </row>
    <row r="13" spans="2:11" x14ac:dyDescent="0.45">
      <c r="B13" s="20" t="str">
        <f>'County Data'!$B$46</f>
        <v>Yamhill</v>
      </c>
      <c r="C13" s="15">
        <f>VLOOKUP($B13,'County Data'!$B$10:$L$46,2,FALSE)</f>
        <v>108060</v>
      </c>
      <c r="D13" s="34">
        <f>VLOOKUP(B13,'County Data'!$B$10:$L$46,4,FALSE)</f>
        <v>6.2846349999999995E-2</v>
      </c>
      <c r="E13" s="31">
        <f t="shared" si="0"/>
        <v>6791.1765809999997</v>
      </c>
      <c r="F13" s="6">
        <f t="shared" si="1"/>
        <v>2.4834047755628912E-2</v>
      </c>
      <c r="G13" s="14">
        <f t="shared" si="2"/>
        <v>215720.72844665978</v>
      </c>
      <c r="H13" s="10">
        <f t="shared" si="3"/>
        <v>1.9963050938983877</v>
      </c>
      <c r="I13" s="22"/>
    </row>
    <row r="14" spans="2:11" x14ac:dyDescent="0.45">
      <c r="B14" s="20" t="str">
        <f>'County Data'!$B$21</f>
        <v>Grant</v>
      </c>
      <c r="C14" s="15">
        <f>VLOOKUP($B14,'County Data'!$B$10:$L$46,2,FALSE)</f>
        <v>7360</v>
      </c>
      <c r="D14" s="34">
        <f>VLOOKUP(B14,'County Data'!$B$10:$L$46,4,FALSE)</f>
        <v>7.9334200000000007E-2</v>
      </c>
      <c r="E14" s="31">
        <f t="shared" si="0"/>
        <v>583.89971200000002</v>
      </c>
      <c r="F14" s="6">
        <f t="shared" si="1"/>
        <v>2.1352107634596005E-3</v>
      </c>
      <c r="G14" s="14">
        <f t="shared" si="2"/>
        <v>18547.488746624134</v>
      </c>
      <c r="H14" s="10">
        <f t="shared" si="3"/>
        <v>2.5200392318782789</v>
      </c>
      <c r="I14" s="22"/>
    </row>
    <row r="15" spans="2:11" x14ac:dyDescent="0.45">
      <c r="B15" s="20" t="str">
        <f>'County Data'!$B$34</f>
        <v>Morrow</v>
      </c>
      <c r="C15" s="15">
        <f>VLOOKUP($B15,'County Data'!$B$10:$L$46,2,FALSE)</f>
        <v>12680</v>
      </c>
      <c r="D15" s="34">
        <f>VLOOKUP(B15,'County Data'!$B$10:$L$46,4,FALSE)</f>
        <v>6.6599549999999993E-2</v>
      </c>
      <c r="E15" s="31">
        <f t="shared" si="0"/>
        <v>844.48229399999991</v>
      </c>
      <c r="F15" s="6">
        <f t="shared" si="1"/>
        <v>3.0881119593699244E-3</v>
      </c>
      <c r="G15" s="14">
        <f t="shared" si="2"/>
        <v>26824.856260056404</v>
      </c>
      <c r="H15" s="10">
        <f t="shared" si="3"/>
        <v>2.1155249416448267</v>
      </c>
      <c r="I15" s="22"/>
    </row>
    <row r="16" spans="2:11" x14ac:dyDescent="0.4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3.4388945835796091E-4</v>
      </c>
      <c r="G16" s="14">
        <f t="shared" si="2"/>
        <v>2987.1926313458889</v>
      </c>
      <c r="H16" s="10">
        <f t="shared" si="3"/>
        <v>2.074439327323534</v>
      </c>
      <c r="I16" s="22"/>
    </row>
    <row r="17" spans="2:9" x14ac:dyDescent="0.45">
      <c r="B17" s="20" t="str">
        <f>'County Data'!$B$33</f>
        <v>Marion</v>
      </c>
      <c r="C17" s="15">
        <f>VLOOKUP($B17,'County Data'!$B$10:$L$46,2,FALSE)</f>
        <v>347760</v>
      </c>
      <c r="D17" s="34">
        <f>VLOOKUP(B17,'County Data'!$B$10:$L$46,4,FALSE)</f>
        <v>6.3607510000000006E-2</v>
      </c>
      <c r="E17" s="31">
        <f t="shared" si="0"/>
        <v>22120.147677600002</v>
      </c>
      <c r="F17" s="6">
        <f t="shared" si="1"/>
        <v>8.088919456519171E-2</v>
      </c>
      <c r="G17" s="14">
        <f t="shared" si="2"/>
        <v>702643.24796233152</v>
      </c>
      <c r="H17" s="10">
        <f t="shared" si="3"/>
        <v>2.0204832297053472</v>
      </c>
      <c r="I17" s="22"/>
    </row>
    <row r="18" spans="2:9" x14ac:dyDescent="0.45">
      <c r="B18" s="20" t="str">
        <f>'County Data'!$B$35</f>
        <v>Multnomah</v>
      </c>
      <c r="C18" s="15">
        <f>VLOOKUP($B18,'County Data'!$B$10:$L$46,2,FALSE)</f>
        <v>821730</v>
      </c>
      <c r="D18" s="34">
        <f>VLOOKUP(B18,'County Data'!$B$10:$L$46,4,FALSE)</f>
        <v>6.2221129999999999E-2</v>
      </c>
      <c r="E18" s="31">
        <f t="shared" si="0"/>
        <v>51128.969154899998</v>
      </c>
      <c r="F18" s="6">
        <f t="shared" si="1"/>
        <v>0.18696896576673835</v>
      </c>
      <c r="G18" s="14">
        <f t="shared" si="2"/>
        <v>1624104.2092293412</v>
      </c>
      <c r="H18" s="10">
        <f t="shared" si="3"/>
        <v>1.9764450722613769</v>
      </c>
      <c r="I18" s="22"/>
    </row>
    <row r="19" spans="2:9" x14ac:dyDescent="0.45">
      <c r="B19" s="20" t="str">
        <f>'County Data'!$B$29</f>
        <v>Lane</v>
      </c>
      <c r="C19" s="15">
        <f>VLOOKUP($B19,'County Data'!$B$10:$L$46,2,FALSE)</f>
        <v>378880</v>
      </c>
      <c r="D19" s="34">
        <f>VLOOKUP(B19,'County Data'!$B$10:$L$46,4,FALSE)</f>
        <v>6.8141679999999996E-2</v>
      </c>
      <c r="E19" s="31">
        <f t="shared" si="0"/>
        <v>25817.519718399999</v>
      </c>
      <c r="F19" s="6">
        <f t="shared" si="1"/>
        <v>9.4409784515458284E-2</v>
      </c>
      <c r="G19" s="14">
        <f t="shared" si="2"/>
        <v>820089.72876967373</v>
      </c>
      <c r="H19" s="10">
        <f t="shared" si="3"/>
        <v>2.1645104750044175</v>
      </c>
      <c r="I19" s="22"/>
    </row>
    <row r="20" spans="2:9" x14ac:dyDescent="0.4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7.6432976707705748E-3</v>
      </c>
      <c r="G20" s="14">
        <f t="shared" si="2"/>
        <v>66393.43523447818</v>
      </c>
      <c r="H20" s="10">
        <f t="shared" si="3"/>
        <v>2.4736749342204987</v>
      </c>
      <c r="I20" s="22"/>
    </row>
    <row r="21" spans="2:9" x14ac:dyDescent="0.45">
      <c r="B21" s="20" t="str">
        <f>'County Data'!$B$32</f>
        <v>Malheur</v>
      </c>
      <c r="C21" s="15">
        <f>VLOOKUP($B21,'County Data'!$B$10:$L$46,2,FALSE)</f>
        <v>32030</v>
      </c>
      <c r="D21" s="34">
        <f>VLOOKUP(B21,'County Data'!$B$10:$L$46,4,FALSE)</f>
        <v>7.7298069999999997E-2</v>
      </c>
      <c r="E21" s="31">
        <f t="shared" si="0"/>
        <v>2475.8571821</v>
      </c>
      <c r="F21" s="6">
        <f t="shared" si="1"/>
        <v>9.053741242483565E-3</v>
      </c>
      <c r="G21" s="14">
        <f t="shared" si="2"/>
        <v>78645.240406024182</v>
      </c>
      <c r="H21" s="10">
        <f t="shared" si="3"/>
        <v>2.4553618609436212</v>
      </c>
      <c r="I21" s="22"/>
    </row>
    <row r="22" spans="2:9" x14ac:dyDescent="0.45">
      <c r="B22" s="20" t="str">
        <f>'County Data'!$B$31</f>
        <v>Linn</v>
      </c>
      <c r="C22" s="15">
        <f>VLOOKUP($B22,'County Data'!$B$10:$L$46,2,FALSE)</f>
        <v>126550</v>
      </c>
      <c r="D22" s="34">
        <f>VLOOKUP(B22,'County Data'!$B$10:$L$46,4,FALSE)</f>
        <v>7.4680110000000008E-2</v>
      </c>
      <c r="E22" s="31">
        <f t="shared" si="0"/>
        <v>9450.7679205000004</v>
      </c>
      <c r="F22" s="6">
        <f t="shared" si="1"/>
        <v>3.4559670046232713E-2</v>
      </c>
      <c r="G22" s="14">
        <f t="shared" si="2"/>
        <v>300202.25742538151</v>
      </c>
      <c r="H22" s="10">
        <f t="shared" si="3"/>
        <v>2.372202745360581</v>
      </c>
      <c r="I22" s="22"/>
    </row>
    <row r="23" spans="2:9" x14ac:dyDescent="0.45">
      <c r="B23" s="20" t="str">
        <f>'County Data'!$B$40</f>
        <v>Umatilla</v>
      </c>
      <c r="C23" s="15">
        <f>VLOOKUP($B23,'County Data'!$B$10:$L$46,2,FALSE)</f>
        <v>81160</v>
      </c>
      <c r="D23" s="34">
        <f>VLOOKUP(B23,'County Data'!$B$10:$L$46,4,FALSE)</f>
        <v>7.0862040000000001E-2</v>
      </c>
      <c r="E23" s="31">
        <f t="shared" si="0"/>
        <v>5751.1631663999997</v>
      </c>
      <c r="F23" s="6">
        <f t="shared" si="1"/>
        <v>2.1030915485893708E-2</v>
      </c>
      <c r="G23" s="14">
        <f t="shared" si="2"/>
        <v>182684.8548074009</v>
      </c>
      <c r="H23" s="10">
        <f t="shared" si="3"/>
        <v>2.2509223115746786</v>
      </c>
      <c r="I23" s="22"/>
    </row>
    <row r="24" spans="2:9" x14ac:dyDescent="0.45">
      <c r="B24" s="20" t="str">
        <f>'County Data'!$B$24</f>
        <v>Jackson</v>
      </c>
      <c r="C24" s="15">
        <f>VLOOKUP($B24,'County Data'!$B$10:$L$46,2,FALSE)</f>
        <v>221290</v>
      </c>
      <c r="D24" s="34">
        <f>VLOOKUP(B24,'County Data'!$B$10:$L$46,4,FALSE)</f>
        <v>7.6263950000000011E-2</v>
      </c>
      <c r="E24" s="31">
        <f t="shared" si="0"/>
        <v>16876.449495500001</v>
      </c>
      <c r="F24" s="6">
        <f t="shared" si="1"/>
        <v>6.1713982506252624E-2</v>
      </c>
      <c r="G24" s="14">
        <f t="shared" si="2"/>
        <v>536077.94398219674</v>
      </c>
      <c r="H24" s="10">
        <f t="shared" si="3"/>
        <v>2.4225131907551032</v>
      </c>
      <c r="I24" s="22"/>
    </row>
    <row r="25" spans="2:9" x14ac:dyDescent="0.4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7.171209988163809E-3</v>
      </c>
      <c r="G25" s="14">
        <f t="shared" si="2"/>
        <v>62292.649901988669</v>
      </c>
      <c r="H25" s="10">
        <f t="shared" si="3"/>
        <v>2.6575362586172639</v>
      </c>
      <c r="I25" s="22"/>
    </row>
    <row r="26" spans="2:9" x14ac:dyDescent="0.45">
      <c r="B26" s="20" t="str">
        <f>'County Data'!$B$14</f>
        <v>Columbia</v>
      </c>
      <c r="C26" s="15">
        <f>VLOOKUP($B26,'County Data'!$B$10:$L$46,2,FALSE)</f>
        <v>52750</v>
      </c>
      <c r="D26" s="34">
        <f>VLOOKUP(B26,'County Data'!$B$10:$L$46,4,FALSE)</f>
        <v>7.1908329999999993E-2</v>
      </c>
      <c r="E26" s="31">
        <f t="shared" si="0"/>
        <v>3793.1644074999995</v>
      </c>
      <c r="F26" s="6">
        <f t="shared" si="1"/>
        <v>1.3870884509814344E-2</v>
      </c>
      <c r="G26" s="14">
        <f t="shared" si="2"/>
        <v>120489.3112915278</v>
      </c>
      <c r="H26" s="10">
        <f t="shared" si="3"/>
        <v>2.2841575600289632</v>
      </c>
      <c r="I26" s="22"/>
    </row>
    <row r="27" spans="2:9" x14ac:dyDescent="0.45">
      <c r="B27" s="20" t="str">
        <f>'County Data'!$B$42</f>
        <v>Wallowa</v>
      </c>
      <c r="C27" s="15">
        <f>VLOOKUP($B27,'County Data'!$B$10:$L$46,2,FALSE)</f>
        <v>7150</v>
      </c>
      <c r="D27" s="34">
        <f>VLOOKUP(B27,'County Data'!$B$10:$L$46,4,FALSE)</f>
        <v>6.8052559999999998E-2</v>
      </c>
      <c r="E27" s="31">
        <f t="shared" si="0"/>
        <v>486.57580400000001</v>
      </c>
      <c r="F27" s="6">
        <f t="shared" si="1"/>
        <v>1.7793156471702608E-3</v>
      </c>
      <c r="G27" s="14">
        <f t="shared" si="2"/>
        <v>15456.009077582126</v>
      </c>
      <c r="H27" s="10">
        <f t="shared" si="3"/>
        <v>2.1616795912702274</v>
      </c>
      <c r="I27" s="22"/>
    </row>
    <row r="28" spans="2:9" x14ac:dyDescent="0.45">
      <c r="B28" s="20" t="str">
        <f>'County Data'!$B$39</f>
        <v>Tillamook</v>
      </c>
      <c r="C28" s="15">
        <f>VLOOKUP($B28,'County Data'!$B$10:$L$46,2,FALSE)</f>
        <v>26500</v>
      </c>
      <c r="D28" s="34">
        <f>VLOOKUP(B28,'County Data'!$B$10:$L$46,4,FALSE)</f>
        <v>8.2220169999999995E-2</v>
      </c>
      <c r="E28" s="31">
        <f t="shared" si="0"/>
        <v>2178.8345049999998</v>
      </c>
      <c r="F28" s="6">
        <f t="shared" si="1"/>
        <v>7.9675855138513409E-3</v>
      </c>
      <c r="G28" s="14">
        <f t="shared" si="2"/>
        <v>69210.358614192737</v>
      </c>
      <c r="H28" s="10">
        <f t="shared" si="3"/>
        <v>2.6117116458185938</v>
      </c>
      <c r="I28" s="22"/>
    </row>
    <row r="29" spans="2:9" x14ac:dyDescent="0.45">
      <c r="B29" s="20" t="str">
        <f>'County Data'!$B$28</f>
        <v>Lake</v>
      </c>
      <c r="C29" s="15">
        <f>VLOOKUP($B29,'County Data'!$B$10:$L$46,2,FALSE)</f>
        <v>8080</v>
      </c>
      <c r="D29" s="34">
        <f>VLOOKUP(B29,'County Data'!$B$10:$L$46,4,FALSE)</f>
        <v>9.3079839999999997E-2</v>
      </c>
      <c r="E29" s="31">
        <f t="shared" si="0"/>
        <v>752.08510719999992</v>
      </c>
      <c r="F29" s="6">
        <f t="shared" si="1"/>
        <v>2.7502329302931858E-3</v>
      </c>
      <c r="G29" s="14">
        <f t="shared" si="2"/>
        <v>23889.873167629859</v>
      </c>
      <c r="H29" s="10">
        <f t="shared" si="3"/>
        <v>2.9566674712413192</v>
      </c>
      <c r="I29" s="22"/>
    </row>
    <row r="30" spans="2:9" x14ac:dyDescent="0.45">
      <c r="B30" s="20" t="str">
        <f>'County Data'!$B$36</f>
        <v>Gilliam, Sherman, Wasco</v>
      </c>
      <c r="C30" s="15">
        <f>VLOOKUP($B30,'County Data'!$B$10:$L$46,2,FALSE)</f>
        <v>31000</v>
      </c>
      <c r="D30" s="34">
        <f>VLOOKUP(B30,'County Data'!$B$10:$L$46,4,FALSE)</f>
        <v>8.1669599999999995E-2</v>
      </c>
      <c r="E30" s="31">
        <f t="shared" si="0"/>
        <v>2531.7575999999999</v>
      </c>
      <c r="F30" s="6">
        <f t="shared" si="1"/>
        <v>9.2581584934754088E-3</v>
      </c>
      <c r="G30" s="14">
        <f t="shared" si="2"/>
        <v>80420.908985103451</v>
      </c>
      <c r="H30" s="10">
        <f t="shared" si="3"/>
        <v>2.5942228704872079</v>
      </c>
      <c r="I30" s="22"/>
    </row>
    <row r="31" spans="2:9" x14ac:dyDescent="0.45">
      <c r="B31" s="20" t="str">
        <f>'County Data'!$B$10</f>
        <v>Baker</v>
      </c>
      <c r="C31" s="15">
        <f>VLOOKUP($B31,'County Data'!$B$10:$L$46,2,FALSE)</f>
        <v>16820</v>
      </c>
      <c r="D31" s="34">
        <f>VLOOKUP(B31,'County Data'!$B$10:$L$46,4,FALSE)</f>
        <v>8.6297479999999996E-2</v>
      </c>
      <c r="E31" s="31">
        <f t="shared" si="0"/>
        <v>1451.5236135999999</v>
      </c>
      <c r="F31" s="6">
        <f t="shared" si="1"/>
        <v>5.3079472030540982E-3</v>
      </c>
      <c r="G31" s="14">
        <f t="shared" si="2"/>
        <v>46107.434779322502</v>
      </c>
      <c r="H31" s="10">
        <f t="shared" si="3"/>
        <v>2.7412268001975328</v>
      </c>
      <c r="I31" s="22"/>
    </row>
    <row r="32" spans="2:9" x14ac:dyDescent="0.45">
      <c r="B32" s="20" t="str">
        <f>'County Data'!$B$13</f>
        <v>Clatsop</v>
      </c>
      <c r="C32" s="15">
        <f>VLOOKUP($B32,'County Data'!$B$10:$L$46,2,FALSE)</f>
        <v>39330</v>
      </c>
      <c r="D32" s="34">
        <f>VLOOKUP(B32,'County Data'!$B$10:$L$46,4,FALSE)</f>
        <v>8.1797190000000006E-2</v>
      </c>
      <c r="E32" s="31">
        <f t="shared" si="0"/>
        <v>3217.0834827000003</v>
      </c>
      <c r="F32" s="6">
        <f t="shared" si="1"/>
        <v>1.1764265571703413E-2</v>
      </c>
      <c r="G32" s="14">
        <f t="shared" si="2"/>
        <v>102190.18517400576</v>
      </c>
      <c r="H32" s="10">
        <f t="shared" si="3"/>
        <v>2.5982757481313441</v>
      </c>
      <c r="I32" s="22"/>
    </row>
    <row r="33" spans="2:9" x14ac:dyDescent="0.45">
      <c r="B33" s="20" t="str">
        <f>'County Data'!$B$26</f>
        <v>Josephine</v>
      </c>
      <c r="C33" s="15">
        <f>VLOOKUP($B33,'County Data'!$B$10:$L$46,2,FALSE)</f>
        <v>86750</v>
      </c>
      <c r="D33" s="34">
        <f>VLOOKUP(B33,'County Data'!$B$10:$L$46,4,FALSE)</f>
        <v>9.9210980000000004E-2</v>
      </c>
      <c r="E33" s="31">
        <f t="shared" si="0"/>
        <v>8606.5525150000012</v>
      </c>
      <c r="F33" s="6">
        <f t="shared" si="1"/>
        <v>3.1472534047607643E-2</v>
      </c>
      <c r="G33" s="14">
        <f t="shared" si="2"/>
        <v>273385.87883939932</v>
      </c>
      <c r="H33" s="10">
        <f t="shared" si="3"/>
        <v>3.1514222344599343</v>
      </c>
      <c r="I33" s="22"/>
    </row>
    <row r="34" spans="2:9" x14ac:dyDescent="0.45">
      <c r="B34" s="20" t="str">
        <f>'County Data'!$B$19</f>
        <v>Douglas</v>
      </c>
      <c r="C34" s="15">
        <f>VLOOKUP($B34,'County Data'!$B$10:$L$46,2,FALSE)</f>
        <v>112250</v>
      </c>
      <c r="D34" s="34">
        <f>VLOOKUP(B34,'County Data'!$B$10:$L$46,4,FALSE)</f>
        <v>0.10093575</v>
      </c>
      <c r="E34" s="31">
        <f t="shared" si="0"/>
        <v>11330.037937500001</v>
      </c>
      <c r="F34" s="6">
        <f t="shared" si="1"/>
        <v>4.1431804909942506E-2</v>
      </c>
      <c r="G34" s="14">
        <f t="shared" si="2"/>
        <v>359896.99399715714</v>
      </c>
      <c r="H34" s="10">
        <f t="shared" si="3"/>
        <v>3.2062093006428252</v>
      </c>
      <c r="I34" s="22"/>
    </row>
    <row r="35" spans="2:9" x14ac:dyDescent="0.45">
      <c r="B35" s="20" t="str">
        <f>'County Data'!$B$27</f>
        <v>Klamath</v>
      </c>
      <c r="C35" s="15">
        <f>VLOOKUP($B35,'County Data'!$B$10:$L$46,2,FALSE)</f>
        <v>68190</v>
      </c>
      <c r="D35" s="34">
        <f>VLOOKUP(B35,'County Data'!$B$10:$L$46,4,FALSE)</f>
        <v>9.6826550000000011E-2</v>
      </c>
      <c r="E35" s="31">
        <f t="shared" si="0"/>
        <v>6602.6024445000012</v>
      </c>
      <c r="F35" s="6">
        <f t="shared" si="1"/>
        <v>2.414446781974277E-2</v>
      </c>
      <c r="G35" s="14">
        <f t="shared" si="2"/>
        <v>209730.69864743616</v>
      </c>
      <c r="H35" s="10">
        <f t="shared" si="3"/>
        <v>3.0756811650892528</v>
      </c>
      <c r="I35" s="22"/>
    </row>
    <row r="36" spans="2:9" x14ac:dyDescent="0.45">
      <c r="B36" s="20" t="str">
        <f>'County Data'!$B$15</f>
        <v>Coos</v>
      </c>
      <c r="C36" s="15">
        <f>VLOOKUP($B36,'County Data'!$B$10:$L$46,2,FALSE)</f>
        <v>63290</v>
      </c>
      <c r="D36" s="34">
        <f>VLOOKUP(B36,'County Data'!$B$10:$L$46,4,FALSE)</f>
        <v>9.8415849999999985E-2</v>
      </c>
      <c r="E36" s="31">
        <f t="shared" si="0"/>
        <v>6228.7391464999992</v>
      </c>
      <c r="F36" s="6">
        <f t="shared" si="1"/>
        <v>2.2777320479974758E-2</v>
      </c>
      <c r="G36" s="14">
        <f t="shared" si="2"/>
        <v>197854.9857982563</v>
      </c>
      <c r="H36" s="10">
        <f t="shared" si="3"/>
        <v>3.1261650465832882</v>
      </c>
      <c r="I36" s="22"/>
    </row>
    <row r="37" spans="2:9" x14ac:dyDescent="0.45">
      <c r="B37" s="20" t="str">
        <f>'County Data'!$B$30</f>
        <v>Lincoln</v>
      </c>
      <c r="C37" s="15">
        <f>VLOOKUP($B37,'County Data'!$B$10:$L$46,2,FALSE)</f>
        <v>48260</v>
      </c>
      <c r="D37" s="34">
        <f>VLOOKUP(B37,'County Data'!$B$10:$L$46,4,FALSE)</f>
        <v>9.7818940000000007E-2</v>
      </c>
      <c r="E37" s="31">
        <f t="shared" si="0"/>
        <v>4720.7420443999999</v>
      </c>
      <c r="F37" s="6">
        <f t="shared" si="1"/>
        <v>1.7262860415178896E-2</v>
      </c>
      <c r="G37" s="14">
        <f t="shared" si="2"/>
        <v>149953.67893626294</v>
      </c>
      <c r="H37" s="10">
        <f t="shared" si="3"/>
        <v>3.1072042879457715</v>
      </c>
      <c r="I37" s="22"/>
    </row>
    <row r="38" spans="2:9" x14ac:dyDescent="0.45">
      <c r="B38" s="20" t="str">
        <f>'County Data'!$B$25</f>
        <v>Jefferson</v>
      </c>
      <c r="C38" s="15">
        <f>VLOOKUP($B38,'County Data'!$B$10:$L$46,2,FALSE)</f>
        <v>23840</v>
      </c>
      <c r="D38" s="34">
        <f>VLOOKUP(B38,'County Data'!$B$10:$L$46,4,FALSE)</f>
        <v>8.5968059999999999E-2</v>
      </c>
      <c r="E38" s="31">
        <f t="shared" si="0"/>
        <v>2049.4785504000001</v>
      </c>
      <c r="F38" s="6">
        <f t="shared" si="1"/>
        <v>7.4945552641301171E-3</v>
      </c>
      <c r="G38" s="14">
        <f t="shared" si="2"/>
        <v>65101.385681093707</v>
      </c>
      <c r="H38" s="10">
        <f t="shared" si="3"/>
        <v>2.7307628221935278</v>
      </c>
      <c r="I38" s="22"/>
    </row>
    <row r="39" spans="2:9" x14ac:dyDescent="0.45">
      <c r="B39" s="20" t="str">
        <f>'County Data'!$B$22</f>
        <v>Harney</v>
      </c>
      <c r="C39" s="15">
        <f>VLOOKUP($B39,'County Data'!$B$10:$L$46,2,FALSE)</f>
        <v>7360</v>
      </c>
      <c r="D39" s="34">
        <f>VLOOKUP(B39,'County Data'!$B$10:$L$46,4,FALSE)</f>
        <v>9.5802139999999994E-2</v>
      </c>
      <c r="E39" s="31">
        <f t="shared" si="0"/>
        <v>705.10375039999997</v>
      </c>
      <c r="F39" s="6">
        <f t="shared" si="1"/>
        <v>2.5784309981125857E-3</v>
      </c>
      <c r="G39" s="14">
        <f t="shared" si="2"/>
        <v>22397.517256775885</v>
      </c>
      <c r="H39" s="10">
        <f t="shared" si="3"/>
        <v>3.0431409316271583</v>
      </c>
      <c r="I39" s="22"/>
    </row>
    <row r="40" spans="2:9" x14ac:dyDescent="0.45">
      <c r="B40" s="20" t="str">
        <f>'County Data'!$B$17</f>
        <v>Curry</v>
      </c>
      <c r="C40" s="15">
        <f>VLOOKUP($B40,'County Data'!$B$10:$L$46,2,FALSE)</f>
        <v>23000</v>
      </c>
      <c r="D40" s="34">
        <f>VLOOKUP(B40,'County Data'!$B$10:$L$46,4,FALSE)</f>
        <v>9.8974709999999994E-2</v>
      </c>
      <c r="E40" s="31">
        <f t="shared" si="0"/>
        <v>2276.41833</v>
      </c>
      <c r="F40" s="6">
        <f t="shared" si="1"/>
        <v>8.3244310974291569E-3</v>
      </c>
      <c r="G40" s="14">
        <f t="shared" si="2"/>
        <v>72310.094508633527</v>
      </c>
      <c r="H40" s="10">
        <f t="shared" si="3"/>
        <v>3.1439171525492839</v>
      </c>
      <c r="I40" s="22"/>
    </row>
    <row r="41" spans="2:9" x14ac:dyDescent="0.45">
      <c r="B41" s="4" t="s">
        <v>2</v>
      </c>
      <c r="C41" s="5">
        <f>SUM(C6:C40)</f>
        <v>4236400</v>
      </c>
      <c r="D41" s="5">
        <f>SUM(D6:D40)</f>
        <v>2.5689659599999994</v>
      </c>
      <c r="E41" s="5">
        <f>SUM(E6:E40)</f>
        <v>273462.33074150002</v>
      </c>
      <c r="F41" s="8">
        <f>SUM(F6:F40)</f>
        <v>0.99999999999999989</v>
      </c>
      <c r="G41" s="11">
        <f>SUM(G6:G40)</f>
        <v>8686490.8439166676</v>
      </c>
      <c r="H41" s="12">
        <f t="shared" ref="H41" si="4">G41/C41</f>
        <v>2.0504416117261512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12" x14ac:dyDescent="0.45">
      <c r="B3" t="s">
        <v>0</v>
      </c>
      <c r="C3" s="1">
        <f>'County Data'!C5</f>
        <v>63910417</v>
      </c>
    </row>
    <row r="4" spans="2:12" x14ac:dyDescent="0.45">
      <c r="B4" t="s">
        <v>41</v>
      </c>
      <c r="C4" s="14">
        <f>'County Data'!F9</f>
        <v>8686490.8439166658</v>
      </c>
      <c r="D4" s="9"/>
    </row>
    <row r="6" spans="2:12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45">
      <c r="B7" s="20" t="str">
        <f>+'County Data'!$B$18</f>
        <v>Deschutes</v>
      </c>
      <c r="C7" s="15">
        <f>VLOOKUP($B7,'County Data'!$B$10:$L$46,2,FALSE)</f>
        <v>193000</v>
      </c>
      <c r="D7" s="29">
        <f>VLOOKUP($B7,'County Data'!$B$10:$L$46,5,FALSE)</f>
        <v>0.13699999999999998</v>
      </c>
      <c r="E7" s="31">
        <f t="shared" ref="E7:E40" si="0">C7*D7</f>
        <v>26440.999999999996</v>
      </c>
      <c r="F7" s="6">
        <f t="shared" ref="F7:F40" si="1">E7/$E$41</f>
        <v>3.7088659331301052E-2</v>
      </c>
      <c r="G7" s="14">
        <f t="shared" ref="G7:G40" si="2">$C$4*F7</f>
        <v>322170.29969449097</v>
      </c>
      <c r="H7" s="10">
        <f t="shared" ref="H7:H40" si="3">G7/C7</f>
        <v>1.6692761642201606</v>
      </c>
      <c r="J7" s="172"/>
      <c r="K7" s="172"/>
      <c r="L7" s="22"/>
    </row>
    <row r="8" spans="2:12" x14ac:dyDescent="0.45">
      <c r="B8" s="20" t="str">
        <f>+'County Data'!$B$42</f>
        <v>Wallowa</v>
      </c>
      <c r="C8" s="15">
        <f>VLOOKUP($B8,'County Data'!$B$10:$L$46,2,FALSE)</f>
        <v>7150</v>
      </c>
      <c r="D8" s="29">
        <f>VLOOKUP($B8,'County Data'!$B$10:$L$46,5,FALSE)</f>
        <v>0.14899999999999999</v>
      </c>
      <c r="E8" s="31">
        <f t="shared" si="0"/>
        <v>1065.3499999999999</v>
      </c>
      <c r="F8" s="6">
        <f t="shared" si="1"/>
        <v>1.4943611519459012E-3</v>
      </c>
      <c r="G8" s="14">
        <f t="shared" si="2"/>
        <v>12980.754463882833</v>
      </c>
      <c r="H8" s="10">
        <f t="shared" si="3"/>
        <v>1.8154901348087877</v>
      </c>
      <c r="J8" s="172"/>
      <c r="K8" s="172"/>
      <c r="L8" s="22"/>
    </row>
    <row r="9" spans="2:12" x14ac:dyDescent="0.45">
      <c r="B9" s="20" t="str">
        <f>+'County Data'!$B$28</f>
        <v>Lake</v>
      </c>
      <c r="C9" s="15">
        <f>VLOOKUP($B9,'County Data'!$B$10:$L$46,2,FALSE)</f>
        <v>8080</v>
      </c>
      <c r="D9" s="29">
        <f>VLOOKUP($B9,'County Data'!$B$10:$L$46,5,FALSE)</f>
        <v>0.17899999999999999</v>
      </c>
      <c r="E9" s="31">
        <f t="shared" si="0"/>
        <v>1446.32</v>
      </c>
      <c r="F9" s="6">
        <f t="shared" si="1"/>
        <v>2.0287458781455821E-3</v>
      </c>
      <c r="G9" s="14">
        <f t="shared" si="2"/>
        <v>17622.682495145273</v>
      </c>
      <c r="H9" s="10">
        <f t="shared" si="3"/>
        <v>2.1810250612803554</v>
      </c>
      <c r="J9" s="172"/>
      <c r="K9" s="172"/>
      <c r="L9" s="22"/>
    </row>
    <row r="10" spans="2:12" x14ac:dyDescent="0.45">
      <c r="B10" s="20" t="str">
        <f>+'County Data'!$B$44</f>
        <v>Washington</v>
      </c>
      <c r="C10" s="15">
        <f>VLOOKUP($B10,'County Data'!$B$10:$L$46,2,FALSE)</f>
        <v>613410</v>
      </c>
      <c r="D10" s="29">
        <f>VLOOKUP($B10,'County Data'!$B$10:$L$46,5,FALSE)</f>
        <v>0.151</v>
      </c>
      <c r="E10" s="31">
        <f t="shared" si="0"/>
        <v>92624.91</v>
      </c>
      <c r="F10" s="6">
        <f t="shared" si="1"/>
        <v>0.12992450106207862</v>
      </c>
      <c r="G10" s="14">
        <f t="shared" si="2"/>
        <v>1128587.988876187</v>
      </c>
      <c r="H10" s="10">
        <f t="shared" si="3"/>
        <v>1.8398591299068927</v>
      </c>
      <c r="J10" s="172"/>
      <c r="K10" s="172"/>
      <c r="L10" s="22"/>
    </row>
    <row r="11" spans="2:12" x14ac:dyDescent="0.45">
      <c r="B11" s="20" t="str">
        <f>+'County Data'!$B$10</f>
        <v>Baker</v>
      </c>
      <c r="C11" s="15">
        <f>VLOOKUP($B11,'County Data'!$B$10:$L$46,2,FALSE)</f>
        <v>16820</v>
      </c>
      <c r="D11" s="29">
        <f>VLOOKUP($B11,'County Data'!$B$10:$L$46,5,FALSE)</f>
        <v>0.18899999999999997</v>
      </c>
      <c r="E11" s="31">
        <f t="shared" si="0"/>
        <v>3178.9799999999996</v>
      </c>
      <c r="F11" s="6">
        <f t="shared" si="1"/>
        <v>4.4591394516477973E-3</v>
      </c>
      <c r="G11" s="14">
        <f t="shared" si="2"/>
        <v>38734.274018486176</v>
      </c>
      <c r="H11" s="10">
        <f t="shared" si="3"/>
        <v>2.3028700367708783</v>
      </c>
      <c r="J11" s="172"/>
      <c r="K11" s="172"/>
      <c r="L11" s="22"/>
    </row>
    <row r="12" spans="2:12" x14ac:dyDescent="0.45">
      <c r="B12" s="20" t="str">
        <f>+'County Data'!$B$11</f>
        <v>Benton</v>
      </c>
      <c r="C12" s="15">
        <f>VLOOKUP($B12,'County Data'!$B$10:$L$46,2,FALSE)</f>
        <v>94360</v>
      </c>
      <c r="D12" s="29">
        <f>VLOOKUP($B12,'County Data'!$B$10:$L$46,5,FALSE)</f>
        <v>0.113</v>
      </c>
      <c r="E12" s="31">
        <f t="shared" si="0"/>
        <v>10662.68</v>
      </c>
      <c r="F12" s="6">
        <f t="shared" si="1"/>
        <v>1.4956488259849368E-2</v>
      </c>
      <c r="G12" s="14">
        <f t="shared" si="2"/>
        <v>129919.39832632864</v>
      </c>
      <c r="H12" s="10">
        <f t="shared" si="3"/>
        <v>1.3768482230429062</v>
      </c>
      <c r="J12" s="172"/>
      <c r="K12" s="172"/>
      <c r="L12" s="22"/>
    </row>
    <row r="13" spans="2:12" x14ac:dyDescent="0.4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3.9907234727856265E-3</v>
      </c>
      <c r="G13" s="14">
        <f t="shared" si="2"/>
        <v>34665.382906955667</v>
      </c>
      <c r="H13" s="10">
        <f t="shared" si="3"/>
        <v>1.2915567401995405</v>
      </c>
      <c r="J13" s="172"/>
      <c r="K13" s="172"/>
      <c r="L13" s="22"/>
    </row>
    <row r="14" spans="2:12" x14ac:dyDescent="0.45">
      <c r="B14" s="20" t="str">
        <f>+'County Data'!$B$37</f>
        <v>Polk</v>
      </c>
      <c r="C14" s="15">
        <f>VLOOKUP($B14,'County Data'!$B$10:$L$46,2,FALSE)</f>
        <v>82940</v>
      </c>
      <c r="D14" s="29">
        <f>VLOOKUP($B14,'County Data'!$B$10:$L$46,5,FALSE)</f>
        <v>0.183</v>
      </c>
      <c r="E14" s="31">
        <f t="shared" si="0"/>
        <v>15178.02</v>
      </c>
      <c r="F14" s="6">
        <f t="shared" si="1"/>
        <v>2.129013324396483E-2</v>
      </c>
      <c r="G14" s="14">
        <f t="shared" si="2"/>
        <v>184936.54748946632</v>
      </c>
      <c r="H14" s="10">
        <f t="shared" si="3"/>
        <v>2.2297630514765654</v>
      </c>
      <c r="J14" s="172"/>
      <c r="K14" s="172"/>
      <c r="L14" s="22"/>
    </row>
    <row r="15" spans="2:12" x14ac:dyDescent="0.45">
      <c r="B15" s="20" t="str">
        <f>+'County Data'!$B$12</f>
        <v>Clackamas</v>
      </c>
      <c r="C15" s="15">
        <f>VLOOKUP($B15,'County Data'!$B$10:$L$46,2,FALSE)</f>
        <v>423420</v>
      </c>
      <c r="D15" s="29">
        <f>VLOOKUP($B15,'County Data'!$B$10:$L$46,5,FALSE)</f>
        <v>0.14499999999999999</v>
      </c>
      <c r="E15" s="31">
        <f t="shared" si="0"/>
        <v>61395.899999999994</v>
      </c>
      <c r="F15" s="6">
        <f t="shared" si="1"/>
        <v>8.6119723892387812E-2</v>
      </c>
      <c r="G15" s="14">
        <f t="shared" si="2"/>
        <v>748078.19307185803</v>
      </c>
      <c r="H15" s="10">
        <f t="shared" si="3"/>
        <v>1.7667521446125787</v>
      </c>
      <c r="J15" s="172"/>
      <c r="K15" s="172"/>
      <c r="L15" s="22"/>
    </row>
    <row r="16" spans="2:12" x14ac:dyDescent="0.45">
      <c r="B16" s="20" t="str">
        <f>+'County Data'!$B$13</f>
        <v>Clatsop</v>
      </c>
      <c r="C16" s="15">
        <f>VLOOKUP($B16,'County Data'!$B$10:$L$46,2,FALSE)</f>
        <v>39330</v>
      </c>
      <c r="D16" s="29">
        <f>VLOOKUP($B16,'County Data'!$B$10:$L$46,5,FALSE)</f>
        <v>0.15</v>
      </c>
      <c r="E16" s="31">
        <f t="shared" si="0"/>
        <v>5899.5</v>
      </c>
      <c r="F16" s="6">
        <f t="shared" si="1"/>
        <v>8.2751993390949869E-3</v>
      </c>
      <c r="G16" s="14">
        <f t="shared" si="2"/>
        <v>71882.443290633848</v>
      </c>
      <c r="H16" s="10">
        <f t="shared" si="3"/>
        <v>1.8276746323578401</v>
      </c>
      <c r="J16" s="172"/>
      <c r="K16" s="172"/>
      <c r="L16" s="22"/>
    </row>
    <row r="17" spans="2:12" x14ac:dyDescent="0.45">
      <c r="B17" s="20" t="str">
        <f>+'County Data'!$B$36</f>
        <v>Gilliam, Sherman, Wasco</v>
      </c>
      <c r="C17" s="15">
        <f>VLOOKUP($B17,'County Data'!$B$10:$L$46,2,FALSE)</f>
        <v>31000</v>
      </c>
      <c r="D17" s="29">
        <f>VLOOKUP($B17,'County Data'!$B$10:$L$46,5,FALSE)</f>
        <v>0.13800000000000001</v>
      </c>
      <c r="E17" s="31">
        <f t="shared" si="0"/>
        <v>4278</v>
      </c>
      <c r="F17" s="6">
        <f t="shared" si="1"/>
        <v>6.000729345308646E-3</v>
      </c>
      <c r="G17" s="14">
        <f t="shared" si="2"/>
        <v>52125.280514845603</v>
      </c>
      <c r="H17" s="10">
        <f t="shared" si="3"/>
        <v>1.6814606617692129</v>
      </c>
      <c r="J17" s="172"/>
      <c r="K17" s="172"/>
      <c r="L17" s="22"/>
    </row>
    <row r="18" spans="2:12" x14ac:dyDescent="0.45">
      <c r="B18" s="20" t="str">
        <f>+'County Data'!$B$29</f>
        <v>Lane</v>
      </c>
      <c r="C18" s="15">
        <f>VLOOKUP($B18,'County Data'!$B$10:$L$46,2,FALSE)</f>
        <v>378880</v>
      </c>
      <c r="D18" s="29">
        <f>VLOOKUP($B18,'County Data'!$B$10:$L$46,5,FALSE)</f>
        <v>0.16600000000000001</v>
      </c>
      <c r="E18" s="31">
        <f t="shared" si="0"/>
        <v>62894.080000000002</v>
      </c>
      <c r="F18" s="6">
        <f t="shared" si="1"/>
        <v>8.822121353487368E-2</v>
      </c>
      <c r="G18" s="14">
        <f t="shared" si="2"/>
        <v>766332.76360989723</v>
      </c>
      <c r="H18" s="10">
        <f t="shared" si="3"/>
        <v>2.0226265931426766</v>
      </c>
      <c r="J18" s="172"/>
      <c r="K18" s="172"/>
      <c r="L18" s="22"/>
    </row>
    <row r="19" spans="2:12" x14ac:dyDescent="0.45">
      <c r="B19" s="20" t="str">
        <f>+'County Data'!$B$35</f>
        <v>Multnomah</v>
      </c>
      <c r="C19" s="15">
        <f>VLOOKUP($B19,'County Data'!$B$10:$L$46,2,FALSE)</f>
        <v>821730</v>
      </c>
      <c r="D19" s="29">
        <f>VLOOKUP($B19,'County Data'!$B$10:$L$46,5,FALSE)</f>
        <v>0.161</v>
      </c>
      <c r="E19" s="31">
        <f t="shared" si="0"/>
        <v>132298.53</v>
      </c>
      <c r="F19" s="6">
        <f t="shared" si="1"/>
        <v>0.18557449072281351</v>
      </c>
      <c r="G19" s="14">
        <f t="shared" si="2"/>
        <v>1611991.1145282178</v>
      </c>
      <c r="H19" s="10">
        <f t="shared" si="3"/>
        <v>1.9617041053974149</v>
      </c>
      <c r="J19" s="172"/>
      <c r="K19" s="172"/>
      <c r="L19" s="22"/>
    </row>
    <row r="20" spans="2:12" x14ac:dyDescent="0.45">
      <c r="B20" s="20" t="str">
        <f>+'County Data'!$B$21</f>
        <v>Grant</v>
      </c>
      <c r="C20" s="15">
        <f>VLOOKUP($B20,'County Data'!$B$10:$L$46,2,FALSE)</f>
        <v>7360</v>
      </c>
      <c r="D20" s="29">
        <f>VLOOKUP($B20,'County Data'!$B$10:$L$46,5,FALSE)</f>
        <v>0.155</v>
      </c>
      <c r="E20" s="31">
        <f t="shared" si="0"/>
        <v>1140.8</v>
      </c>
      <c r="F20" s="6">
        <f t="shared" si="1"/>
        <v>1.6001944920823056E-3</v>
      </c>
      <c r="G20" s="14">
        <f t="shared" si="2"/>
        <v>13900.074803958827</v>
      </c>
      <c r="H20" s="10">
        <f t="shared" si="3"/>
        <v>1.8885971201031015</v>
      </c>
      <c r="J20" s="172"/>
      <c r="K20" s="172"/>
      <c r="L20" s="22"/>
    </row>
    <row r="21" spans="2:12" x14ac:dyDescent="0.45">
      <c r="B21" s="20" t="str">
        <f>+'County Data'!$B$24</f>
        <v>Jackson</v>
      </c>
      <c r="C21" s="15">
        <f>VLOOKUP($B21,'County Data'!$B$10:$L$46,2,FALSE)</f>
        <v>221290</v>
      </c>
      <c r="D21" s="29">
        <f>VLOOKUP($B21,'County Data'!$B$10:$L$46,5,FALSE)</f>
        <v>0.184</v>
      </c>
      <c r="E21" s="31">
        <f t="shared" si="0"/>
        <v>40717.360000000001</v>
      </c>
      <c r="F21" s="6">
        <f t="shared" si="1"/>
        <v>5.7114038573047324E-2</v>
      </c>
      <c r="G21" s="14">
        <f t="shared" si="2"/>
        <v>496120.57312387886</v>
      </c>
      <c r="H21" s="10">
        <f t="shared" si="3"/>
        <v>2.2419475490256171</v>
      </c>
      <c r="J21" s="172"/>
      <c r="K21" s="172"/>
      <c r="L21" s="22"/>
    </row>
    <row r="22" spans="2:12" x14ac:dyDescent="0.45">
      <c r="B22" s="20" t="str">
        <f>+'County Data'!$B$31</f>
        <v>Linn</v>
      </c>
      <c r="C22" s="15">
        <f>VLOOKUP($B22,'County Data'!$B$10:$L$46,2,FALSE)</f>
        <v>126550</v>
      </c>
      <c r="D22" s="29">
        <f>VLOOKUP($B22,'County Data'!$B$10:$L$46,5,FALSE)</f>
        <v>0.18100000000000002</v>
      </c>
      <c r="E22" s="31">
        <f t="shared" si="0"/>
        <v>22905.550000000003</v>
      </c>
      <c r="F22" s="6">
        <f t="shared" si="1"/>
        <v>3.2129501181728491E-2</v>
      </c>
      <c r="G22" s="14">
        <f t="shared" si="2"/>
        <v>279092.61783469422</v>
      </c>
      <c r="H22" s="10">
        <f t="shared" si="3"/>
        <v>2.2053940563784606</v>
      </c>
      <c r="J22" s="172"/>
      <c r="K22" s="172"/>
      <c r="L22" s="22"/>
    </row>
    <row r="23" spans="2:12" x14ac:dyDescent="0.45">
      <c r="B23" s="20" t="str">
        <f>+'County Data'!$B$25</f>
        <v>Jefferson</v>
      </c>
      <c r="C23" s="15">
        <f>VLOOKUP($B23,'County Data'!$B$10:$L$46,2,FALSE)</f>
        <v>23840</v>
      </c>
      <c r="D23" s="29">
        <f>VLOOKUP($B23,'County Data'!$B$10:$L$46,5,FALSE)</f>
        <v>0.13699999999999998</v>
      </c>
      <c r="E23" s="31">
        <f t="shared" si="0"/>
        <v>3266.0799999999995</v>
      </c>
      <c r="F23" s="6">
        <f t="shared" si="1"/>
        <v>4.5813141889026786E-3</v>
      </c>
      <c r="G23" s="14">
        <f t="shared" si="2"/>
        <v>39795.543755008621</v>
      </c>
      <c r="H23" s="10">
        <f t="shared" si="3"/>
        <v>1.6692761642201603</v>
      </c>
      <c r="J23" s="172"/>
      <c r="K23" s="172"/>
      <c r="L23" s="22"/>
    </row>
    <row r="24" spans="2:12" x14ac:dyDescent="0.45">
      <c r="B24" s="20" t="str">
        <f>+'County Data'!$B$46</f>
        <v>Yamhill</v>
      </c>
      <c r="C24" s="15">
        <f>VLOOKUP($B24,'County Data'!$B$10:$L$46,2,FALSE)</f>
        <v>108060</v>
      </c>
      <c r="D24" s="29">
        <f>VLOOKUP($B24,'County Data'!$B$10:$L$46,5,FALSE)</f>
        <v>0.184</v>
      </c>
      <c r="E24" s="31">
        <f t="shared" si="0"/>
        <v>19883.04</v>
      </c>
      <c r="F24" s="6">
        <f t="shared" si="1"/>
        <v>2.7889841421679669E-2</v>
      </c>
      <c r="G24" s="14">
        <f t="shared" si="2"/>
        <v>242264.85214770821</v>
      </c>
      <c r="H24" s="10">
        <f t="shared" si="3"/>
        <v>2.2419475490256175</v>
      </c>
      <c r="J24" s="172"/>
      <c r="K24" s="172"/>
      <c r="L24" s="22"/>
    </row>
    <row r="25" spans="2:12" x14ac:dyDescent="0.45">
      <c r="B25" s="20" t="str">
        <f>+'County Data'!$B$26</f>
        <v>Josephine</v>
      </c>
      <c r="C25" s="15">
        <f>VLOOKUP($B25,'County Data'!$B$10:$L$46,2,FALSE)</f>
        <v>86750</v>
      </c>
      <c r="D25" s="29">
        <f>VLOOKUP($B25,'County Data'!$B$10:$L$46,5,FALSE)</f>
        <v>0.218</v>
      </c>
      <c r="E25" s="31">
        <f t="shared" si="0"/>
        <v>18911.5</v>
      </c>
      <c r="F25" s="6">
        <f t="shared" si="1"/>
        <v>2.6527067090650881E-2</v>
      </c>
      <c r="G25" s="14">
        <f t="shared" si="2"/>
        <v>230427.12539890199</v>
      </c>
      <c r="H25" s="10">
        <f t="shared" si="3"/>
        <v>2.6562204656933948</v>
      </c>
      <c r="J25" s="172"/>
      <c r="K25" s="172"/>
      <c r="L25" s="22"/>
    </row>
    <row r="26" spans="2:12" x14ac:dyDescent="0.45">
      <c r="B26" s="20" t="str">
        <f>+'County Data'!$B$14</f>
        <v>Columbia</v>
      </c>
      <c r="C26" s="15">
        <f>VLOOKUP($B26,'County Data'!$B$10:$L$46,2,FALSE)</f>
        <v>52750</v>
      </c>
      <c r="D26" s="29">
        <f>VLOOKUP($B26,'County Data'!$B$10:$L$46,5,FALSE)</f>
        <v>0.20499999999999999</v>
      </c>
      <c r="E26" s="31">
        <f t="shared" si="0"/>
        <v>10813.75</v>
      </c>
      <c r="F26" s="6">
        <f t="shared" si="1"/>
        <v>1.5168393398277552E-2</v>
      </c>
      <c r="G26" s="14">
        <f t="shared" si="2"/>
        <v>131760.11037106396</v>
      </c>
      <c r="H26" s="10">
        <f t="shared" si="3"/>
        <v>2.497821997555715</v>
      </c>
      <c r="J26" s="172"/>
      <c r="K26" s="172"/>
      <c r="L26" s="22"/>
    </row>
    <row r="27" spans="2:12" x14ac:dyDescent="0.45">
      <c r="B27" s="20" t="str">
        <f>+'County Data'!$B$39</f>
        <v>Tillamook</v>
      </c>
      <c r="C27" s="15">
        <f>VLOOKUP($B27,'County Data'!$B$10:$L$46,2,FALSE)</f>
        <v>26500</v>
      </c>
      <c r="D27" s="29">
        <f>VLOOKUP($B27,'County Data'!$B$10:$L$46,5,FALSE)</f>
        <v>0.16899999999999998</v>
      </c>
      <c r="E27" s="31">
        <f t="shared" si="0"/>
        <v>4478.5</v>
      </c>
      <c r="F27" s="6">
        <f t="shared" si="1"/>
        <v>6.2819696991502508E-3</v>
      </c>
      <c r="G27" s="14">
        <f t="shared" si="2"/>
        <v>54568.272273430586</v>
      </c>
      <c r="H27" s="10">
        <f t="shared" si="3"/>
        <v>2.0591800857898335</v>
      </c>
      <c r="J27" s="172"/>
      <c r="K27" s="172"/>
      <c r="L27" s="22"/>
    </row>
    <row r="28" spans="2:12" x14ac:dyDescent="0.45">
      <c r="B28" s="20" t="str">
        <f>+'County Data'!$B$33</f>
        <v>Marion</v>
      </c>
      <c r="C28" s="15">
        <f>VLOOKUP($B28,'County Data'!$B$10:$L$46,2,FALSE)</f>
        <v>347760</v>
      </c>
      <c r="D28" s="29">
        <f>VLOOKUP($B28,'County Data'!$B$10:$L$46,5,FALSE)</f>
        <v>0.192</v>
      </c>
      <c r="E28" s="31">
        <f t="shared" si="0"/>
        <v>66769.919999999998</v>
      </c>
      <c r="F28" s="6">
        <f t="shared" si="1"/>
        <v>9.3657835046262433E-2</v>
      </c>
      <c r="G28" s="14">
        <f t="shared" si="2"/>
        <v>813557.926590416</v>
      </c>
      <c r="H28" s="10">
        <f t="shared" si="3"/>
        <v>2.3394235294180352</v>
      </c>
      <c r="J28" s="172"/>
      <c r="K28" s="172"/>
      <c r="L28" s="22"/>
    </row>
    <row r="29" spans="2:12" x14ac:dyDescent="0.45">
      <c r="B29" s="20" t="str">
        <f>+'County Data'!$B$23</f>
        <v>Hood River</v>
      </c>
      <c r="C29" s="15">
        <f>VLOOKUP($B29,'County Data'!$B$10:$L$46,2,FALSE)</f>
        <v>25480</v>
      </c>
      <c r="D29" s="29">
        <f>VLOOKUP($B29,'County Data'!$B$10:$L$46,5,FALSE)</f>
        <v>0.16399999999999998</v>
      </c>
      <c r="E29" s="31">
        <f t="shared" si="0"/>
        <v>4178.7199999999993</v>
      </c>
      <c r="F29" s="6">
        <f t="shared" si="1"/>
        <v>5.8614697825685232E-3</v>
      </c>
      <c r="G29" s="14">
        <f t="shared" si="2"/>
        <v>50915.603598175687</v>
      </c>
      <c r="H29" s="10">
        <f t="shared" si="3"/>
        <v>1.9982575980445716</v>
      </c>
      <c r="J29" s="172"/>
      <c r="K29" s="172"/>
      <c r="L29" s="22"/>
    </row>
    <row r="30" spans="2:12" x14ac:dyDescent="0.45">
      <c r="B30" s="20" t="str">
        <f>+'County Data'!$B$30</f>
        <v>Lincoln</v>
      </c>
      <c r="C30" s="15">
        <f>VLOOKUP($B30,'County Data'!$B$10:$L$46,2,FALSE)</f>
        <v>48260</v>
      </c>
      <c r="D30" s="29">
        <f>VLOOKUP($B30,'County Data'!$B$10:$L$46,5,FALSE)</f>
        <v>0.21299999999999999</v>
      </c>
      <c r="E30" s="31">
        <f t="shared" si="0"/>
        <v>10279.379999999999</v>
      </c>
      <c r="F30" s="6">
        <f t="shared" si="1"/>
        <v>1.4418835254225991E-2</v>
      </c>
      <c r="G30" s="14">
        <f t="shared" si="2"/>
        <v>125249.0804157769</v>
      </c>
      <c r="H30" s="10">
        <f t="shared" si="3"/>
        <v>2.5952979779481331</v>
      </c>
      <c r="J30" s="172"/>
      <c r="K30" s="172"/>
      <c r="L30" s="22"/>
    </row>
    <row r="31" spans="2:12" x14ac:dyDescent="0.45">
      <c r="B31" s="20" t="str">
        <f>+'County Data'!$B$27</f>
        <v>Klamath</v>
      </c>
      <c r="C31" s="15">
        <f>VLOOKUP($B31,'County Data'!$B$10:$L$46,2,FALSE)</f>
        <v>68190</v>
      </c>
      <c r="D31" s="29">
        <f>VLOOKUP($B31,'County Data'!$B$10:$L$46,5,FALSE)</f>
        <v>0.17399999999999999</v>
      </c>
      <c r="E31" s="31">
        <f t="shared" si="0"/>
        <v>11865.06</v>
      </c>
      <c r="F31" s="6">
        <f t="shared" si="1"/>
        <v>1.6643060711979383E-2</v>
      </c>
      <c r="G31" s="14">
        <f t="shared" si="2"/>
        <v>144569.79448935809</v>
      </c>
      <c r="H31" s="10">
        <f t="shared" si="3"/>
        <v>2.1201025735350942</v>
      </c>
      <c r="J31" s="172"/>
      <c r="K31" s="172"/>
      <c r="L31" s="22"/>
    </row>
    <row r="32" spans="2:12" x14ac:dyDescent="0.45">
      <c r="B32" s="20" t="str">
        <f>+'County Data'!$B$15</f>
        <v>Coos</v>
      </c>
      <c r="C32" s="15">
        <f>VLOOKUP($B32,'County Data'!$B$10:$L$46,2,FALSE)</f>
        <v>63290</v>
      </c>
      <c r="D32" s="29">
        <f>VLOOKUP($B32,'County Data'!$B$10:$L$46,5,FALSE)</f>
        <v>0.214</v>
      </c>
      <c r="E32" s="31">
        <f t="shared" si="0"/>
        <v>13544.06</v>
      </c>
      <c r="F32" s="6">
        <f t="shared" si="1"/>
        <v>1.8998185670084388E-2</v>
      </c>
      <c r="G32" s="14">
        <f t="shared" si="2"/>
        <v>165027.56587421685</v>
      </c>
      <c r="H32" s="10">
        <f t="shared" si="3"/>
        <v>2.6074824754971853</v>
      </c>
      <c r="J32" s="172"/>
      <c r="K32" s="172"/>
      <c r="L32" s="22"/>
    </row>
    <row r="33" spans="2:12" x14ac:dyDescent="0.45">
      <c r="B33" s="20" t="str">
        <f>+'County Data'!$B$40</f>
        <v>Umatilla</v>
      </c>
      <c r="C33" s="15">
        <f>VLOOKUP($B33,'County Data'!$B$10:$L$46,2,FALSE)</f>
        <v>81160</v>
      </c>
      <c r="D33" s="29">
        <f>VLOOKUP($B33,'County Data'!$B$10:$L$46,5,FALSE)</f>
        <v>0.184</v>
      </c>
      <c r="E33" s="31">
        <f t="shared" si="0"/>
        <v>14933.44</v>
      </c>
      <c r="F33" s="6">
        <f t="shared" si="1"/>
        <v>2.0947062093129021E-2</v>
      </c>
      <c r="G33" s="14">
        <f t="shared" si="2"/>
        <v>181956.4630789191</v>
      </c>
      <c r="H33" s="10">
        <f t="shared" si="3"/>
        <v>2.2419475490256171</v>
      </c>
      <c r="J33" s="172"/>
      <c r="K33" s="172"/>
      <c r="L33" s="22"/>
    </row>
    <row r="34" spans="2:12" x14ac:dyDescent="0.45">
      <c r="B34" s="20" t="str">
        <f>+'County Data'!$B$19</f>
        <v>Douglas</v>
      </c>
      <c r="C34" s="15">
        <f>VLOOKUP($B34,'County Data'!$B$10:$L$46,2,FALSE)</f>
        <v>112250</v>
      </c>
      <c r="D34" s="29">
        <f>VLOOKUP($B34,'County Data'!$B$10:$L$46,5,FALSE)</f>
        <v>0.222</v>
      </c>
      <c r="E34" s="31">
        <f t="shared" si="0"/>
        <v>24919.5</v>
      </c>
      <c r="F34" s="6">
        <f t="shared" si="1"/>
        <v>3.4954458840677605E-2</v>
      </c>
      <c r="G34" s="14">
        <f t="shared" si="2"/>
        <v>303631.58667360799</v>
      </c>
      <c r="H34" s="10">
        <f t="shared" si="3"/>
        <v>2.7049584558896034</v>
      </c>
      <c r="J34" s="172"/>
      <c r="K34" s="172"/>
      <c r="L34" s="22"/>
    </row>
    <row r="35" spans="2:12" x14ac:dyDescent="0.45">
      <c r="B35" s="20" t="str">
        <f>+'County Data'!$B$17</f>
        <v>Curry</v>
      </c>
      <c r="C35" s="15">
        <f>VLOOKUP($B35,'County Data'!$B$10:$L$46,2,FALSE)</f>
        <v>23000</v>
      </c>
      <c r="D35" s="29">
        <f>VLOOKUP($B35,'County Data'!$B$10:$L$46,5,FALSE)</f>
        <v>0.20399999999999999</v>
      </c>
      <c r="E35" s="31">
        <f t="shared" si="0"/>
        <v>4692</v>
      </c>
      <c r="F35" s="6">
        <f t="shared" si="1"/>
        <v>6.5814450884030314E-3</v>
      </c>
      <c r="G35" s="14">
        <f t="shared" si="2"/>
        <v>57169.662500153245</v>
      </c>
      <c r="H35" s="10">
        <f t="shared" si="3"/>
        <v>2.4856375000066628</v>
      </c>
      <c r="J35" s="172"/>
      <c r="K35" s="172"/>
      <c r="L35" s="22"/>
    </row>
    <row r="36" spans="2:12" x14ac:dyDescent="0.4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7.5622094545179921E-3</v>
      </c>
      <c r="G36" s="14">
        <f t="shared" si="2"/>
        <v>65689.063186450585</v>
      </c>
      <c r="H36" s="10">
        <f t="shared" si="3"/>
        <v>2.8024344362820215</v>
      </c>
      <c r="J36" s="172"/>
      <c r="K36" s="172"/>
      <c r="L36" s="22"/>
    </row>
    <row r="37" spans="2:12" x14ac:dyDescent="0.45">
      <c r="B37" s="20" t="str">
        <f>+'County Data'!$B$34</f>
        <v>Morrow</v>
      </c>
      <c r="C37" s="15">
        <f>VLOOKUP($B37,'County Data'!$B$10:$L$46,2,FALSE)</f>
        <v>12680</v>
      </c>
      <c r="D37" s="29">
        <f>VLOOKUP($B37,'County Data'!$B$10:$L$46,5,FALSE)</f>
        <v>0.312</v>
      </c>
      <c r="E37" s="31">
        <f t="shared" si="0"/>
        <v>3956.16</v>
      </c>
      <c r="F37" s="6">
        <f t="shared" si="1"/>
        <v>5.5492859763291843E-3</v>
      </c>
      <c r="G37" s="14">
        <f t="shared" si="2"/>
        <v>48203.821823658618</v>
      </c>
      <c r="H37" s="10">
        <f t="shared" si="3"/>
        <v>3.8015632353043074</v>
      </c>
      <c r="J37" s="172"/>
      <c r="K37" s="172"/>
      <c r="L37" s="22"/>
    </row>
    <row r="38" spans="2:12" x14ac:dyDescent="0.45">
      <c r="B38" s="20" t="str">
        <f>+'County Data'!$B$22</f>
        <v>Harney</v>
      </c>
      <c r="C38" s="15">
        <f>VLOOKUP($B38,'County Data'!$B$10:$L$46,2,FALSE)</f>
        <v>7360</v>
      </c>
      <c r="D38" s="29">
        <f>VLOOKUP($B38,'County Data'!$B$10:$L$46,5,FALSE)</f>
        <v>0.122</v>
      </c>
      <c r="E38" s="31">
        <f t="shared" si="0"/>
        <v>897.92</v>
      </c>
      <c r="F38" s="6">
        <f t="shared" si="1"/>
        <v>1.2595079228002663E-3</v>
      </c>
      <c r="G38" s="14">
        <f t="shared" si="2"/>
        <v>10940.704039245013</v>
      </c>
      <c r="H38" s="10">
        <f t="shared" si="3"/>
        <v>1.4865087009843767</v>
      </c>
      <c r="J38" s="172"/>
      <c r="K38" s="172"/>
      <c r="L38" s="22"/>
    </row>
    <row r="39" spans="2:12" x14ac:dyDescent="0.45">
      <c r="B39" s="20" t="str">
        <f>+'County Data'!$B$32</f>
        <v>Malheur</v>
      </c>
      <c r="C39" s="15">
        <f>VLOOKUP($B39,'County Data'!$B$10:$L$46,2,FALSE)</f>
        <v>32030</v>
      </c>
      <c r="D39" s="29">
        <f>VLOOKUP($B39,'County Data'!$B$10:$L$46,5,FALSE)</f>
        <v>0.27100000000000002</v>
      </c>
      <c r="E39" s="31">
        <f t="shared" si="0"/>
        <v>8680.130000000001</v>
      </c>
      <c r="F39" s="6">
        <f t="shared" si="1"/>
        <v>1.2175575224893395E-2</v>
      </c>
      <c r="G39" s="14">
        <f t="shared" si="2"/>
        <v>105763.02271045507</v>
      </c>
      <c r="H39" s="10">
        <f t="shared" si="3"/>
        <v>3.3019988357931651</v>
      </c>
      <c r="J39" s="172"/>
      <c r="K39" s="172"/>
      <c r="L39" s="22"/>
    </row>
    <row r="40" spans="2:12" x14ac:dyDescent="0.4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6.7464020241225948E-4</v>
      </c>
      <c r="G40" s="14">
        <f t="shared" si="2"/>
        <v>5860.2559411921784</v>
      </c>
      <c r="H40" s="10">
        <f t="shared" si="3"/>
        <v>4.0696221813834574</v>
      </c>
      <c r="J40" s="172"/>
      <c r="K40" s="172"/>
      <c r="L40" s="22"/>
    </row>
    <row r="41" spans="2:12" x14ac:dyDescent="0.45">
      <c r="B41" s="4" t="s">
        <v>2</v>
      </c>
      <c r="C41" s="5">
        <f>SUM(C6:C40)</f>
        <v>4236400</v>
      </c>
      <c r="D41" s="5">
        <f>SUM(D6:D40)</f>
        <v>6.2360000000000015</v>
      </c>
      <c r="E41" s="5">
        <f>SUM(E6:E40)</f>
        <v>712913.34</v>
      </c>
      <c r="F41" s="8">
        <f>SUM(F6:F40)</f>
        <v>1.0000000000000004</v>
      </c>
      <c r="G41" s="11">
        <f>SUM(G6:G40)</f>
        <v>8686490.8439166658</v>
      </c>
      <c r="H41" s="12">
        <f t="shared" ref="H41" si="4">G41/C41</f>
        <v>2.0504416117261508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63910417</v>
      </c>
    </row>
    <row r="4" spans="2:8" x14ac:dyDescent="0.45">
      <c r="B4" t="s">
        <v>41</v>
      </c>
      <c r="C4" s="14">
        <f>'County Data'!G9</f>
        <v>8686490.8439166658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1.3456840743881457E-4</v>
      </c>
      <c r="G7" s="14">
        <f t="shared" ref="G7:G40" si="2">$C$4*F7</f>
        <v>1168.9272390977101</v>
      </c>
      <c r="H7" s="10">
        <f t="shared" ref="H7:H40" si="3">G7/C7</f>
        <v>0.81175502715118752</v>
      </c>
    </row>
    <row r="8" spans="2:8" x14ac:dyDescent="0.45">
      <c r="B8" s="20" t="str">
        <f>+'County Data'!$B$42</f>
        <v>Wallowa</v>
      </c>
      <c r="C8" s="15">
        <f>VLOOKUP($B8,'County Data'!$B$10:$L$46,2,FALSE)</f>
        <v>7150</v>
      </c>
      <c r="D8" s="29">
        <f>VLOOKUP($B8,'County Data'!$B$10:$L$46,6,FALSE)</f>
        <v>4.9393414211438474E-2</v>
      </c>
      <c r="E8" s="31">
        <f t="shared" si="0"/>
        <v>353.16291161178509</v>
      </c>
      <c r="F8" s="6">
        <f t="shared" si="1"/>
        <v>5.3480143347543578E-4</v>
      </c>
      <c r="G8" s="14">
        <f t="shared" si="2"/>
        <v>4645.5477551978811</v>
      </c>
      <c r="H8" s="10">
        <f t="shared" si="3"/>
        <v>0.64972695876893438</v>
      </c>
    </row>
    <row r="9" spans="2:8" x14ac:dyDescent="0.45">
      <c r="B9" s="20" t="str">
        <f>+'County Data'!$B$21</f>
        <v>Grant</v>
      </c>
      <c r="C9" s="15">
        <f>VLOOKUP($B9,'County Data'!$B$10:$L$46,2,FALSE)</f>
        <v>7360</v>
      </c>
      <c r="D9" s="29">
        <f>VLOOKUP($B9,'County Data'!$B$10:$L$46,6,FALSE)</f>
        <v>5.3181122093832661E-2</v>
      </c>
      <c r="E9" s="31">
        <f t="shared" si="0"/>
        <v>391.4130586106084</v>
      </c>
      <c r="F9" s="6">
        <f t="shared" si="1"/>
        <v>5.9272437151062618E-4</v>
      </c>
      <c r="G9" s="14">
        <f t="shared" si="2"/>
        <v>5148.6948260933141</v>
      </c>
      <c r="H9" s="10">
        <f t="shared" si="3"/>
        <v>0.6995509274583307</v>
      </c>
    </row>
    <row r="10" spans="2:8" x14ac:dyDescent="0.45">
      <c r="B10" s="20" t="str">
        <f>+'County Data'!$B$10</f>
        <v>Baker</v>
      </c>
      <c r="C10" s="15">
        <f>VLOOKUP($B10,'County Data'!$B$10:$L$46,2,FALSE)</f>
        <v>16820</v>
      </c>
      <c r="D10" s="29">
        <f>VLOOKUP($B10,'County Data'!$B$10:$L$46,6,FALSE)</f>
        <v>7.063313313313313E-2</v>
      </c>
      <c r="E10" s="31">
        <f t="shared" si="0"/>
        <v>1188.0492992992993</v>
      </c>
      <c r="F10" s="6">
        <f t="shared" si="1"/>
        <v>1.7990860518309023E-3</v>
      </c>
      <c r="G10" s="14">
        <f t="shared" si="2"/>
        <v>15627.744516647317</v>
      </c>
      <c r="H10" s="10">
        <f t="shared" si="3"/>
        <v>0.92911679647130307</v>
      </c>
    </row>
    <row r="11" spans="2:8" x14ac:dyDescent="0.4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3.2277483224182873E-3</v>
      </c>
      <c r="G11" s="14">
        <f t="shared" si="2"/>
        <v>28037.806249153829</v>
      </c>
      <c r="H11" s="10">
        <f t="shared" si="3"/>
        <v>1.0446276545884436</v>
      </c>
    </row>
    <row r="12" spans="2:8" x14ac:dyDescent="0.45">
      <c r="B12" s="20" t="str">
        <f>+'County Data'!$B$14</f>
        <v>Columbia</v>
      </c>
      <c r="C12" s="15">
        <f>VLOOKUP($B12,'County Data'!$B$10:$L$46,2,FALSE)</f>
        <v>52750</v>
      </c>
      <c r="D12" s="29">
        <f>VLOOKUP($B12,'County Data'!$B$10:$L$46,6,FALSE)</f>
        <v>7.1640675699592926E-2</v>
      </c>
      <c r="E12" s="31">
        <f t="shared" si="0"/>
        <v>3779.0456431535267</v>
      </c>
      <c r="F12" s="6">
        <f t="shared" si="1"/>
        <v>5.7226819710593981E-3</v>
      </c>
      <c r="G12" s="14">
        <f t="shared" si="2"/>
        <v>49710.02454425444</v>
      </c>
      <c r="H12" s="10">
        <f t="shared" si="3"/>
        <v>0.94237013354036858</v>
      </c>
    </row>
    <row r="13" spans="2:8" x14ac:dyDescent="0.45">
      <c r="B13" s="20" t="str">
        <f>+'County Data'!$B$19</f>
        <v>Douglas</v>
      </c>
      <c r="C13" s="15">
        <f>VLOOKUP($B13,'County Data'!$B$10:$L$46,2,FALSE)</f>
        <v>112250</v>
      </c>
      <c r="D13" s="29">
        <f>VLOOKUP($B13,'County Data'!$B$10:$L$46,6,FALSE)</f>
        <v>7.483175318261126E-2</v>
      </c>
      <c r="E13" s="31">
        <f t="shared" si="0"/>
        <v>8399.8642947481148</v>
      </c>
      <c r="F13" s="6">
        <f t="shared" si="1"/>
        <v>1.2720077103590499E-2</v>
      </c>
      <c r="G13" s="14">
        <f t="shared" si="2"/>
        <v>110492.83329425289</v>
      </c>
      <c r="H13" s="10">
        <f t="shared" si="3"/>
        <v>0.98434595362363375</v>
      </c>
    </row>
    <row r="14" spans="2:8" x14ac:dyDescent="0.4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2.5616233576629057E-3</v>
      </c>
      <c r="G14" s="14">
        <f t="shared" si="2"/>
        <v>22251.517841901896</v>
      </c>
      <c r="H14" s="10">
        <f t="shared" si="3"/>
        <v>0.94929683625861327</v>
      </c>
    </row>
    <row r="15" spans="2:8" x14ac:dyDescent="0.45">
      <c r="B15" s="20" t="str">
        <f>+'County Data'!$B$18</f>
        <v>Deschutes</v>
      </c>
      <c r="C15" s="15">
        <f>VLOOKUP($B15,'County Data'!$B$10:$L$46,2,FALSE)</f>
        <v>193000</v>
      </c>
      <c r="D15" s="29">
        <f>VLOOKUP($B15,'County Data'!$B$10:$L$46,6,FALSE)</f>
        <v>6.5085252435783877E-2</v>
      </c>
      <c r="E15" s="31">
        <f t="shared" si="0"/>
        <v>12561.453720106289</v>
      </c>
      <c r="F15" s="6">
        <f t="shared" si="1"/>
        <v>1.9022052529210184E-2</v>
      </c>
      <c r="G15" s="14">
        <f t="shared" si="2"/>
        <v>165234.88512748611</v>
      </c>
      <c r="H15" s="10">
        <f t="shared" si="3"/>
        <v>0.85613930117868453</v>
      </c>
    </row>
    <row r="16" spans="2:8" x14ac:dyDescent="0.45">
      <c r="B16" s="20" t="str">
        <f>+'County Data'!$B$26</f>
        <v>Josephine</v>
      </c>
      <c r="C16" s="15">
        <f>VLOOKUP($B16,'County Data'!$B$10:$L$46,2,FALSE)</f>
        <v>86750</v>
      </c>
      <c r="D16" s="29">
        <f>VLOOKUP($B16,'County Data'!$B$10:$L$46,6,FALSE)</f>
        <v>7.9491348954738486E-2</v>
      </c>
      <c r="E16" s="31">
        <f t="shared" si="0"/>
        <v>6895.8745218235636</v>
      </c>
      <c r="F16" s="6">
        <f t="shared" si="1"/>
        <v>1.0442556276667956E-2</v>
      </c>
      <c r="G16" s="14">
        <f t="shared" si="2"/>
        <v>90709.169484360711</v>
      </c>
      <c r="H16" s="10">
        <f t="shared" si="3"/>
        <v>1.0456388413182791</v>
      </c>
    </row>
    <row r="17" spans="2:8" x14ac:dyDescent="0.45">
      <c r="B17" s="20" t="str">
        <f>+'County Data'!$B$17</f>
        <v>Curry</v>
      </c>
      <c r="C17" s="15">
        <f>VLOOKUP($B17,'County Data'!$B$10:$L$46,2,FALSE)</f>
        <v>23000</v>
      </c>
      <c r="D17" s="29">
        <f>VLOOKUP($B17,'County Data'!$B$10:$L$46,6,FALSE)</f>
        <v>9.2726707246634385E-2</v>
      </c>
      <c r="E17" s="31">
        <f t="shared" si="0"/>
        <v>2132.7142666725908</v>
      </c>
      <c r="F17" s="6">
        <f t="shared" si="1"/>
        <v>3.2296104984653579E-3</v>
      </c>
      <c r="G17" s="14">
        <f t="shared" si="2"/>
        <v>28053.98202433647</v>
      </c>
      <c r="H17" s="10">
        <f t="shared" si="3"/>
        <v>1.2197383488841944</v>
      </c>
    </row>
    <row r="18" spans="2:8" x14ac:dyDescent="0.45">
      <c r="B18" s="20" t="str">
        <f>+'County Data'!$B$22</f>
        <v>Harney</v>
      </c>
      <c r="C18" s="15">
        <f>VLOOKUP($B18,'County Data'!$B$10:$L$46,2,FALSE)</f>
        <v>7360</v>
      </c>
      <c r="D18" s="29">
        <f>VLOOKUP($B18,'County Data'!$B$10:$L$46,6,FALSE)</f>
        <v>9.0896513558384059E-2</v>
      </c>
      <c r="E18" s="31">
        <f t="shared" si="0"/>
        <v>668.99833978970673</v>
      </c>
      <c r="F18" s="6">
        <f t="shared" si="1"/>
        <v>1.0130771362127445E-3</v>
      </c>
      <c r="G18" s="14">
        <f t="shared" si="2"/>
        <v>8800.0852678933225</v>
      </c>
      <c r="H18" s="10">
        <f t="shared" si="3"/>
        <v>1.1956637592246362</v>
      </c>
    </row>
    <row r="19" spans="2:8" x14ac:dyDescent="0.45">
      <c r="B19" s="20" t="str">
        <f>+'County Data'!$B$13</f>
        <v>Clatsop</v>
      </c>
      <c r="C19" s="15">
        <f>VLOOKUP($B19,'County Data'!$B$10:$L$46,2,FALSE)</f>
        <v>39330</v>
      </c>
      <c r="D19" s="29">
        <f>VLOOKUP($B19,'County Data'!$B$10:$L$46,6,FALSE)</f>
        <v>8.7962242622270634E-2</v>
      </c>
      <c r="E19" s="31">
        <f t="shared" si="0"/>
        <v>3459.5550023339042</v>
      </c>
      <c r="F19" s="6">
        <f t="shared" si="1"/>
        <v>5.2388711090622523E-3</v>
      </c>
      <c r="G19" s="14">
        <f t="shared" si="2"/>
        <v>45507.405921328806</v>
      </c>
      <c r="H19" s="10">
        <f t="shared" si="3"/>
        <v>1.1570660035934097</v>
      </c>
    </row>
    <row r="20" spans="2:8" x14ac:dyDescent="0.45">
      <c r="B20" s="20" t="str">
        <f>+'County Data'!$B$31</f>
        <v>Linn</v>
      </c>
      <c r="C20" s="15">
        <f>VLOOKUP($B20,'County Data'!$B$10:$L$46,2,FALSE)</f>
        <v>126550</v>
      </c>
      <c r="D20" s="29">
        <f>VLOOKUP($B20,'County Data'!$B$10:$L$46,6,FALSE)</f>
        <v>9.5881826320501337E-2</v>
      </c>
      <c r="E20" s="31">
        <f t="shared" si="0"/>
        <v>12133.845120859443</v>
      </c>
      <c r="F20" s="6">
        <f t="shared" si="1"/>
        <v>1.8374516549851685E-2</v>
      </c>
      <c r="G20" s="14">
        <f t="shared" si="2"/>
        <v>159610.06977168191</v>
      </c>
      <c r="H20" s="10">
        <f t="shared" si="3"/>
        <v>1.2612411676940491</v>
      </c>
    </row>
    <row r="21" spans="2:8" x14ac:dyDescent="0.45">
      <c r="B21" s="20" t="str">
        <f>+'County Data'!$B$15</f>
        <v>Coos</v>
      </c>
      <c r="C21" s="15">
        <f>VLOOKUP($B21,'County Data'!$B$10:$L$46,2,FALSE)</f>
        <v>63290</v>
      </c>
      <c r="D21" s="29">
        <f>VLOOKUP($B21,'County Data'!$B$10:$L$46,6,FALSE)</f>
        <v>0.11684147343147785</v>
      </c>
      <c r="E21" s="31">
        <f t="shared" si="0"/>
        <v>7394.8968534782334</v>
      </c>
      <c r="F21" s="6">
        <f t="shared" si="1"/>
        <v>1.1198235453417235E-2</v>
      </c>
      <c r="G21" s="14">
        <f t="shared" si="2"/>
        <v>97273.369734131804</v>
      </c>
      <c r="H21" s="10">
        <f t="shared" si="3"/>
        <v>1.5369469068436057</v>
      </c>
    </row>
    <row r="22" spans="2:8" x14ac:dyDescent="0.45">
      <c r="B22" s="20" t="str">
        <f>+'County Data'!$B$28</f>
        <v>Lake</v>
      </c>
      <c r="C22" s="15">
        <f>VLOOKUP($B22,'County Data'!$B$10:$L$46,2,FALSE)</f>
        <v>8080</v>
      </c>
      <c r="D22" s="29">
        <f>VLOOKUP($B22,'County Data'!$B$10:$L$46,6,FALSE)</f>
        <v>8.9506566364911389E-2</v>
      </c>
      <c r="E22" s="31">
        <f t="shared" si="0"/>
        <v>723.21305622848399</v>
      </c>
      <c r="F22" s="6">
        <f t="shared" si="1"/>
        <v>1.0951755307882036E-3</v>
      </c>
      <c r="G22" s="14">
        <f t="shared" si="2"/>
        <v>9513.2322206733061</v>
      </c>
      <c r="H22" s="10">
        <f t="shared" si="3"/>
        <v>1.1773802253308547</v>
      </c>
    </row>
    <row r="23" spans="2:8" x14ac:dyDescent="0.45">
      <c r="B23" s="20" t="str">
        <f>+'County Data'!$B$39</f>
        <v>Tillamook</v>
      </c>
      <c r="C23" s="15">
        <f>VLOOKUP($B23,'County Data'!$B$10:$L$46,2,FALSE)</f>
        <v>26500</v>
      </c>
      <c r="D23" s="29">
        <f>VLOOKUP($B23,'County Data'!$B$10:$L$46,6,FALSE)</f>
        <v>7.5088203712225798E-2</v>
      </c>
      <c r="E23" s="31">
        <f t="shared" si="0"/>
        <v>1989.8373983739837</v>
      </c>
      <c r="F23" s="6">
        <f t="shared" si="1"/>
        <v>3.0132492910332175E-3</v>
      </c>
      <c r="G23" s="14">
        <f t="shared" si="2"/>
        <v>26174.562376998427</v>
      </c>
      <c r="H23" s="10">
        <f t="shared" si="3"/>
        <v>0.98771933498107267</v>
      </c>
    </row>
    <row r="24" spans="2:8" x14ac:dyDescent="0.45">
      <c r="B24" s="20" t="str">
        <f>+'County Data'!$B$12</f>
        <v>Clackamas</v>
      </c>
      <c r="C24" s="15">
        <f>VLOOKUP($B24,'County Data'!$B$10:$L$46,2,FALSE)</f>
        <v>423420</v>
      </c>
      <c r="D24" s="29">
        <f>VLOOKUP($B24,'County Data'!$B$10:$L$46,6,FALSE)</f>
        <v>0.11963882618510158</v>
      </c>
      <c r="E24" s="31">
        <f t="shared" si="0"/>
        <v>50657.47178329571</v>
      </c>
      <c r="F24" s="6">
        <f t="shared" si="1"/>
        <v>7.6711590133588456E-2</v>
      </c>
      <c r="G24" s="14">
        <f t="shared" si="2"/>
        <v>666354.52531770419</v>
      </c>
      <c r="H24" s="10">
        <f t="shared" si="3"/>
        <v>1.5737436241030283</v>
      </c>
    </row>
    <row r="25" spans="2:8" x14ac:dyDescent="0.45">
      <c r="B25" s="20" t="str">
        <f>+'County Data'!$B$29</f>
        <v>Lane</v>
      </c>
      <c r="C25" s="15">
        <f>VLOOKUP($B25,'County Data'!$B$10:$L$46,2,FALSE)</f>
        <v>378880</v>
      </c>
      <c r="D25" s="29">
        <f>VLOOKUP($B25,'County Data'!$B$10:$L$46,6,FALSE)</f>
        <v>0.1300198979619499</v>
      </c>
      <c r="E25" s="31">
        <f t="shared" si="0"/>
        <v>49261.93893982358</v>
      </c>
      <c r="F25" s="6">
        <f t="shared" si="1"/>
        <v>7.4598307734412436E-2</v>
      </c>
      <c r="G25" s="14">
        <f t="shared" si="2"/>
        <v>647997.51710665144</v>
      </c>
      <c r="H25" s="10">
        <f t="shared" si="3"/>
        <v>1.710297500809363</v>
      </c>
    </row>
    <row r="26" spans="2:8" x14ac:dyDescent="0.45">
      <c r="B26" s="20" t="str">
        <f>+'County Data'!$B$30</f>
        <v>Lincoln</v>
      </c>
      <c r="C26" s="15">
        <f>VLOOKUP($B26,'County Data'!$B$10:$L$46,2,FALSE)</f>
        <v>48260</v>
      </c>
      <c r="D26" s="29">
        <f>VLOOKUP($B26,'County Data'!$B$10:$L$46,6,FALSE)</f>
        <v>0.11814707295169274</v>
      </c>
      <c r="E26" s="31">
        <f t="shared" si="0"/>
        <v>5701.7777406486921</v>
      </c>
      <c r="F26" s="6">
        <f t="shared" si="1"/>
        <v>8.6343124059675355E-3</v>
      </c>
      <c r="G26" s="14">
        <f t="shared" si="2"/>
        <v>75001.875657953075</v>
      </c>
      <c r="H26" s="10">
        <f t="shared" si="3"/>
        <v>1.5541209212174281</v>
      </c>
    </row>
    <row r="27" spans="2:8" x14ac:dyDescent="0.45">
      <c r="B27" s="20" t="str">
        <f>+'County Data'!$B$24</f>
        <v>Jackson</v>
      </c>
      <c r="C27" s="15">
        <f>VLOOKUP($B27,'County Data'!$B$10:$L$46,2,FALSE)</f>
        <v>221290</v>
      </c>
      <c r="D27" s="29">
        <f>VLOOKUP($B27,'County Data'!$B$10:$L$46,6,FALSE)</f>
        <v>8.6331539621126913E-2</v>
      </c>
      <c r="E27" s="31">
        <f t="shared" si="0"/>
        <v>19104.306402759175</v>
      </c>
      <c r="F27" s="6">
        <f t="shared" si="1"/>
        <v>2.8930021001131113E-2</v>
      </c>
      <c r="G27" s="14">
        <f t="shared" si="2"/>
        <v>251300.36254064227</v>
      </c>
      <c r="H27" s="10">
        <f t="shared" si="3"/>
        <v>1.1356155386173901</v>
      </c>
    </row>
    <row r="28" spans="2:8" x14ac:dyDescent="0.45">
      <c r="B28" s="20" t="str">
        <f>+'County Data'!$B$11</f>
        <v>Benton</v>
      </c>
      <c r="C28" s="15">
        <f>VLOOKUP($B28,'County Data'!$B$10:$L$46,2,FALSE)</f>
        <v>94360</v>
      </c>
      <c r="D28" s="29">
        <f>VLOOKUP($B28,'County Data'!$B$10:$L$46,6,FALSE)</f>
        <v>0.14361773223435065</v>
      </c>
      <c r="E28" s="31">
        <f t="shared" si="0"/>
        <v>13551.769213633328</v>
      </c>
      <c r="F28" s="6">
        <f t="shared" si="1"/>
        <v>2.0521706451288452E-2</v>
      </c>
      <c r="G28" s="14">
        <f t="shared" si="2"/>
        <v>178261.61519066271</v>
      </c>
      <c r="H28" s="10">
        <f t="shared" si="3"/>
        <v>1.8891650613677693</v>
      </c>
    </row>
    <row r="29" spans="2:8" x14ac:dyDescent="0.45">
      <c r="B29" s="20" t="str">
        <f>+'County Data'!$B$27</f>
        <v>Klamath</v>
      </c>
      <c r="C29" s="15">
        <f>VLOOKUP($B29,'County Data'!$B$10:$L$46,2,FALSE)</f>
        <v>68190</v>
      </c>
      <c r="D29" s="29">
        <f>VLOOKUP($B29,'County Data'!$B$10:$L$46,6,FALSE)</f>
        <v>0.12005730659025787</v>
      </c>
      <c r="E29" s="31">
        <f t="shared" si="0"/>
        <v>8186.7077363896842</v>
      </c>
      <c r="F29" s="6">
        <f t="shared" si="1"/>
        <v>1.2397290001047608E-2</v>
      </c>
      <c r="G29" s="14">
        <f t="shared" si="2"/>
        <v>107688.94608347968</v>
      </c>
      <c r="H29" s="10">
        <f t="shared" si="3"/>
        <v>1.5792483660871048</v>
      </c>
    </row>
    <row r="30" spans="2:8" x14ac:dyDescent="0.45">
      <c r="B30" s="20" t="str">
        <f>+'County Data'!$B$37</f>
        <v>Polk</v>
      </c>
      <c r="C30" s="15">
        <f>VLOOKUP($B30,'County Data'!$B$10:$L$46,2,FALSE)</f>
        <v>82940</v>
      </c>
      <c r="D30" s="29">
        <f>VLOOKUP($B30,'County Data'!$B$10:$L$46,6,FALSE)</f>
        <v>0.12019354759477814</v>
      </c>
      <c r="E30" s="31">
        <f t="shared" si="0"/>
        <v>9968.8528375108999</v>
      </c>
      <c r="F30" s="6">
        <f t="shared" si="1"/>
        <v>1.5096026825905768E-2</v>
      </c>
      <c r="G30" s="14">
        <f t="shared" si="2"/>
        <v>131131.49880275081</v>
      </c>
      <c r="H30" s="10">
        <f t="shared" si="3"/>
        <v>1.5810404967778009</v>
      </c>
    </row>
    <row r="31" spans="2:8" x14ac:dyDescent="0.45">
      <c r="B31" s="20" t="str">
        <f>+'County Data'!$B$46</f>
        <v>Yamhill</v>
      </c>
      <c r="C31" s="15">
        <f>VLOOKUP($B31,'County Data'!$B$10:$L$46,2,FALSE)</f>
        <v>108060</v>
      </c>
      <c r="D31" s="29">
        <f>VLOOKUP($B31,'County Data'!$B$10:$L$46,6,FALSE)</f>
        <v>0.11686572914659989</v>
      </c>
      <c r="E31" s="31">
        <f t="shared" si="0"/>
        <v>12628.510691581583</v>
      </c>
      <c r="F31" s="6">
        <f t="shared" si="1"/>
        <v>1.9123598199183963E-2</v>
      </c>
      <c r="G31" s="14">
        <f t="shared" si="2"/>
        <v>166116.96065995275</v>
      </c>
      <c r="H31" s="10">
        <f t="shared" si="3"/>
        <v>1.5372659694609729</v>
      </c>
    </row>
    <row r="32" spans="2:8" x14ac:dyDescent="0.45">
      <c r="B32" s="20" t="str">
        <f>+'County Data'!$B$36</f>
        <v>Gilliam, Sherman, Wasco</v>
      </c>
      <c r="C32" s="15">
        <f>VLOOKUP($B32,'County Data'!$B$10:$L$46,2,FALSE)</f>
        <v>31000</v>
      </c>
      <c r="D32" s="29">
        <f>VLOOKUP($B32,'County Data'!$B$10:$L$46,6,FALSE)</f>
        <v>0.11961331608686772</v>
      </c>
      <c r="E32" s="31">
        <f t="shared" si="0"/>
        <v>3708.0127986928992</v>
      </c>
      <c r="F32" s="6">
        <f t="shared" si="1"/>
        <v>5.6151155596601736E-3</v>
      </c>
      <c r="G32" s="14">
        <f t="shared" si="2"/>
        <v>48775.649896522104</v>
      </c>
      <c r="H32" s="10">
        <f t="shared" si="3"/>
        <v>1.5734080611781325</v>
      </c>
    </row>
    <row r="33" spans="2:8" x14ac:dyDescent="0.45">
      <c r="B33" s="20" t="str">
        <f>+'County Data'!$B$35</f>
        <v>Multnomah</v>
      </c>
      <c r="C33" s="15">
        <f>VLOOKUP($B33,'County Data'!$B$10:$L$46,2,FALSE)</f>
        <v>821730</v>
      </c>
      <c r="D33" s="29">
        <f>VLOOKUP($B33,'County Data'!$B$10:$L$46,6,FALSE)</f>
        <v>0.22188526345181289</v>
      </c>
      <c r="E33" s="31">
        <f t="shared" si="0"/>
        <v>182329.77753625822</v>
      </c>
      <c r="F33" s="6">
        <f t="shared" si="1"/>
        <v>0.27610551160829844</v>
      </c>
      <c r="G33" s="14">
        <f t="shared" si="2"/>
        <v>2398387.9985404112</v>
      </c>
      <c r="H33" s="10">
        <f t="shared" si="3"/>
        <v>2.9187056557998505</v>
      </c>
    </row>
    <row r="34" spans="2:8" x14ac:dyDescent="0.45">
      <c r="B34" s="20" t="str">
        <f>+'County Data'!$B$44</f>
        <v>Washington</v>
      </c>
      <c r="C34" s="15">
        <f>VLOOKUP($B34,'County Data'!$B$10:$L$46,2,FALSE)</f>
        <v>613410</v>
      </c>
      <c r="D34" s="29">
        <f>VLOOKUP($B34,'County Data'!$B$10:$L$46,6,FALSE)</f>
        <v>0.2386094692353834</v>
      </c>
      <c r="E34" s="31">
        <f t="shared" si="0"/>
        <v>146365.43452367652</v>
      </c>
      <c r="F34" s="6">
        <f t="shared" si="1"/>
        <v>0.22164401079738166</v>
      </c>
      <c r="G34" s="14">
        <f t="shared" si="2"/>
        <v>1925308.6704004225</v>
      </c>
      <c r="H34" s="10">
        <f t="shared" si="3"/>
        <v>3.1386978862431696</v>
      </c>
    </row>
    <row r="35" spans="2:8" x14ac:dyDescent="0.45">
      <c r="B35" s="20" t="str">
        <f>+'County Data'!$B$40</f>
        <v>Umatilla</v>
      </c>
      <c r="C35" s="15">
        <f>VLOOKUP($B35,'County Data'!$B$10:$L$46,2,FALSE)</f>
        <v>81160</v>
      </c>
      <c r="D35" s="29">
        <f>VLOOKUP($B35,'County Data'!$B$10:$L$46,6,FALSE)</f>
        <v>0.14515331998231423</v>
      </c>
      <c r="E35" s="31">
        <f t="shared" si="0"/>
        <v>11780.643449764622</v>
      </c>
      <c r="F35" s="6">
        <f t="shared" si="1"/>
        <v>1.7839656422140793E-2</v>
      </c>
      <c r="G35" s="14">
        <f t="shared" si="2"/>
        <v>154964.01216954514</v>
      </c>
      <c r="H35" s="10">
        <f t="shared" si="3"/>
        <v>1.9093643687721185</v>
      </c>
    </row>
    <row r="36" spans="2:8" x14ac:dyDescent="0.45">
      <c r="B36" s="20" t="str">
        <f>+'County Data'!$B$33</f>
        <v>Marion</v>
      </c>
      <c r="C36" s="15">
        <f>VLOOKUP($B36,'County Data'!$B$10:$L$46,2,FALSE)</f>
        <v>347760</v>
      </c>
      <c r="D36" s="29">
        <f>VLOOKUP($B36,'County Data'!$B$10:$L$46,6,FALSE)</f>
        <v>0.18943058175608621</v>
      </c>
      <c r="E36" s="31">
        <f t="shared" si="0"/>
        <v>65876.379111496542</v>
      </c>
      <c r="F36" s="6">
        <f t="shared" si="1"/>
        <v>9.9757876103726037E-2</v>
      </c>
      <c r="G36" s="14">
        <f t="shared" si="2"/>
        <v>866545.8773835894</v>
      </c>
      <c r="H36" s="10">
        <f t="shared" si="3"/>
        <v>2.4917928381170618</v>
      </c>
    </row>
    <row r="37" spans="2:8" x14ac:dyDescent="0.45">
      <c r="B37" s="20" t="str">
        <f>+'County Data'!$B$23</f>
        <v>Hood River</v>
      </c>
      <c r="C37" s="15">
        <f>VLOOKUP($B37,'County Data'!$B$10:$L$46,2,FALSE)</f>
        <v>25480</v>
      </c>
      <c r="D37" s="29">
        <f>VLOOKUP($B37,'County Data'!$B$10:$L$46,6,FALSE)</f>
        <v>0.13401928148372313</v>
      </c>
      <c r="E37" s="31">
        <f t="shared" si="0"/>
        <v>3414.8112922052655</v>
      </c>
      <c r="F37" s="6">
        <f t="shared" si="1"/>
        <v>5.1711148426791349E-3</v>
      </c>
      <c r="G37" s="14">
        <f t="shared" si="2"/>
        <v>44918.841733773872</v>
      </c>
      <c r="H37" s="10">
        <f t="shared" si="3"/>
        <v>1.7629058765217376</v>
      </c>
    </row>
    <row r="38" spans="2:8" x14ac:dyDescent="0.45">
      <c r="B38" s="20" t="str">
        <f>+'County Data'!$B$32</f>
        <v>Malheur</v>
      </c>
      <c r="C38" s="15">
        <f>VLOOKUP($B38,'County Data'!$B$10:$L$46,2,FALSE)</f>
        <v>32030</v>
      </c>
      <c r="D38" s="29">
        <f>VLOOKUP($B38,'County Data'!$B$10:$L$46,6,FALSE)</f>
        <v>0.10926357990207354</v>
      </c>
      <c r="E38" s="31">
        <f t="shared" si="0"/>
        <v>3499.7124642634153</v>
      </c>
      <c r="F38" s="6">
        <f t="shared" si="1"/>
        <v>5.2996823310182128E-3</v>
      </c>
      <c r="G38" s="14">
        <f t="shared" si="2"/>
        <v>46035.642044056636</v>
      </c>
      <c r="H38" s="10">
        <f t="shared" si="3"/>
        <v>1.4372663766486617</v>
      </c>
    </row>
    <row r="39" spans="2:8" x14ac:dyDescent="0.45">
      <c r="B39" s="20" t="str">
        <f>+'County Data'!$B$34</f>
        <v>Morrow</v>
      </c>
      <c r="C39" s="15">
        <f>VLOOKUP($B39,'County Data'!$B$10:$L$46,2,FALSE)</f>
        <v>12680</v>
      </c>
      <c r="D39" s="29">
        <f>VLOOKUP($B39,'County Data'!$B$10:$L$46,6,FALSE)</f>
        <v>0.11404369148461882</v>
      </c>
      <c r="E39" s="31">
        <f t="shared" si="0"/>
        <v>1446.0740080249666</v>
      </c>
      <c r="F39" s="6">
        <f t="shared" si="1"/>
        <v>2.1898178630190956E-3</v>
      </c>
      <c r="G39" s="14">
        <f t="shared" si="2"/>
        <v>19021.832816960534</v>
      </c>
      <c r="H39" s="10">
        <f t="shared" si="3"/>
        <v>1.5001445439243324</v>
      </c>
    </row>
    <row r="40" spans="2:8" x14ac:dyDescent="0.45">
      <c r="B40" s="20" t="str">
        <f>+'County Data'!$B$25</f>
        <v>Jefferson</v>
      </c>
      <c r="C40" s="15">
        <f>VLOOKUP($B40,'County Data'!$B$10:$L$46,2,FALSE)</f>
        <v>23840</v>
      </c>
      <c r="D40" s="29">
        <f>VLOOKUP($B40,'County Data'!$B$10:$L$46,6,FALSE)</f>
        <v>0.28928833772631035</v>
      </c>
      <c r="E40" s="31">
        <f t="shared" si="0"/>
        <v>6896.6339713952384</v>
      </c>
      <c r="F40" s="6">
        <f t="shared" si="1"/>
        <v>1.0443706325855541E-2</v>
      </c>
      <c r="G40" s="14">
        <f t="shared" si="2"/>
        <v>90719.159376098716</v>
      </c>
      <c r="H40" s="10">
        <f t="shared" si="3"/>
        <v>3.8053338664470937</v>
      </c>
    </row>
    <row r="41" spans="2:8" x14ac:dyDescent="0.45">
      <c r="B41" s="4" t="s">
        <v>2</v>
      </c>
      <c r="C41" s="5">
        <f>SUM(C7:C40)</f>
        <v>4236400</v>
      </c>
      <c r="D41" s="5"/>
      <c r="E41" s="5">
        <f>SUM(E7:E40)</f>
        <v>660362.68698222621</v>
      </c>
      <c r="F41" s="8">
        <f>SUM(F7:F40)</f>
        <v>1.0000000000000002</v>
      </c>
      <c r="G41" s="11">
        <f>SUM(G7:G40)</f>
        <v>8686490.8439166658</v>
      </c>
      <c r="H41" s="12">
        <f t="shared" ref="H41" si="4">G41/C41</f>
        <v>2.0504416117261508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8" bestFit="1" customWidth="1"/>
    <col min="5" max="5" width="14.2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63910417</v>
      </c>
    </row>
    <row r="4" spans="2:8" x14ac:dyDescent="0.45">
      <c r="B4" t="s">
        <v>41</v>
      </c>
      <c r="C4" s="14">
        <f>'County Data'!I9</f>
        <v>8686490.8439166658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Data'!$B$35</f>
        <v>Multnomah</v>
      </c>
      <c r="C7" s="15">
        <f>VLOOKUP($B7,'County Data'!$B$10:$L$46,2,FALSE)</f>
        <v>821730</v>
      </c>
      <c r="D7" s="29">
        <f>VLOOKUP($B7,'County Data'!$B$10:$L$46,8,FALSE)</f>
        <v>1.2999999999999999E-2</v>
      </c>
      <c r="E7" s="31">
        <f t="shared" ref="E7:E40" si="0">C7*D7</f>
        <v>10682.49</v>
      </c>
      <c r="F7" s="6">
        <f t="shared" ref="F7:F40" si="1">IF(E7=0,0,E7/$E$41)</f>
        <v>1.3540768252383272E-2</v>
      </c>
      <c r="G7" s="14">
        <f t="shared" ref="G7:G40" si="2">$C$4*F7</f>
        <v>117621.75944392476</v>
      </c>
      <c r="H7" s="10">
        <f t="shared" ref="H7:H40" si="3">G7/C7</f>
        <v>0.14313918129303391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613410</v>
      </c>
      <c r="D8" s="29">
        <f>VLOOKUP($B8,'County Data'!$B$10:$L$46,8,FALSE)</f>
        <v>5.6000000000000001E-2</v>
      </c>
      <c r="E8" s="31">
        <f t="shared" si="0"/>
        <v>34350.959999999999</v>
      </c>
      <c r="F8" s="6">
        <f t="shared" si="1"/>
        <v>4.3542131900604415E-2</v>
      </c>
      <c r="G8" s="14">
        <f t="shared" si="2"/>
        <v>378228.33007921203</v>
      </c>
      <c r="H8" s="10">
        <f t="shared" si="3"/>
        <v>0.61659955018537682</v>
      </c>
    </row>
    <row r="9" spans="2:8" x14ac:dyDescent="0.45">
      <c r="B9" s="20" t="str">
        <f>+'County Data'!$B$33</f>
        <v>Marion</v>
      </c>
      <c r="C9" s="15">
        <f>VLOOKUP($B9,'County Data'!$B$10:$L$46,2,FALSE)</f>
        <v>347760</v>
      </c>
      <c r="D9" s="29">
        <f>VLOOKUP($B9,'County Data'!$B$10:$L$46,8,FALSE)</f>
        <v>0.13100000000000001</v>
      </c>
      <c r="E9" s="31">
        <f t="shared" si="0"/>
        <v>45556.560000000005</v>
      </c>
      <c r="F9" s="6">
        <f t="shared" si="1"/>
        <v>5.7745976952545124E-2</v>
      </c>
      <c r="G9" s="14">
        <f t="shared" si="2"/>
        <v>501609.90007130604</v>
      </c>
      <c r="H9" s="10">
        <f t="shared" si="3"/>
        <v>1.4424025191836498</v>
      </c>
    </row>
    <row r="10" spans="2:8" x14ac:dyDescent="0.45">
      <c r="B10" s="20" t="str">
        <f>+'County Data'!$B$29</f>
        <v>Lane</v>
      </c>
      <c r="C10" s="15">
        <f>VLOOKUP($B10,'County Data'!$B$10:$L$46,2,FALSE)</f>
        <v>378880</v>
      </c>
      <c r="D10" s="29">
        <f>VLOOKUP($B10,'County Data'!$B$10:$L$46,8,FALSE)</f>
        <v>0.17499999999999999</v>
      </c>
      <c r="E10" s="31">
        <f t="shared" si="0"/>
        <v>66304</v>
      </c>
      <c r="F10" s="6">
        <f t="shared" si="1"/>
        <v>8.4044740337320276E-2</v>
      </c>
      <c r="G10" s="14">
        <f t="shared" si="2"/>
        <v>730053.86741948628</v>
      </c>
      <c r="H10" s="10">
        <f t="shared" si="3"/>
        <v>1.9268735943293029</v>
      </c>
    </row>
    <row r="11" spans="2:8" x14ac:dyDescent="0.45">
      <c r="B11" s="20" t="str">
        <f>+'County Data'!$B$12</f>
        <v>Clackamas</v>
      </c>
      <c r="C11" s="15">
        <f>VLOOKUP($B11,'County Data'!$B$10:$L$46,2,FALSE)</f>
        <v>423420</v>
      </c>
      <c r="D11" s="29">
        <f>VLOOKUP($B11,'County Data'!$B$10:$L$46,8,FALSE)</f>
        <v>0.18099999999999999</v>
      </c>
      <c r="E11" s="31">
        <f t="shared" si="0"/>
        <v>76639.02</v>
      </c>
      <c r="F11" s="6">
        <f t="shared" si="1"/>
        <v>9.7145067199666618E-2</v>
      </c>
      <c r="G11" s="14">
        <f t="shared" si="2"/>
        <v>843849.73676157324</v>
      </c>
      <c r="H11" s="10">
        <f t="shared" si="3"/>
        <v>1.9929378318491644</v>
      </c>
    </row>
    <row r="12" spans="2:8" x14ac:dyDescent="0.45">
      <c r="B12" s="20" t="str">
        <f>+'County Data'!$B$11</f>
        <v>Benton</v>
      </c>
      <c r="C12" s="15">
        <f>VLOOKUP($B12,'County Data'!$B$10:$L$46,2,FALSE)</f>
        <v>94360</v>
      </c>
      <c r="D12" s="29">
        <f>VLOOKUP($B12,'County Data'!$B$10:$L$46,8,FALSE)</f>
        <v>0.188</v>
      </c>
      <c r="E12" s="31">
        <f t="shared" si="0"/>
        <v>17739.68</v>
      </c>
      <c r="F12" s="6">
        <f t="shared" si="1"/>
        <v>2.2486227064236756E-2</v>
      </c>
      <c r="G12" s="14">
        <f t="shared" si="2"/>
        <v>195326.40550772371</v>
      </c>
      <c r="H12" s="10">
        <f t="shared" si="3"/>
        <v>2.0700127756223368</v>
      </c>
    </row>
    <row r="13" spans="2:8" x14ac:dyDescent="0.45">
      <c r="B13" s="20" t="str">
        <f>+'County Data'!$B$37</f>
        <v>Polk</v>
      </c>
      <c r="C13" s="15">
        <f>VLOOKUP($B13,'County Data'!$B$10:$L$46,2,FALSE)</f>
        <v>82940</v>
      </c>
      <c r="D13" s="29">
        <f>VLOOKUP($B13,'County Data'!$B$10:$L$46,8,FALSE)</f>
        <v>0.19900000000000001</v>
      </c>
      <c r="E13" s="31">
        <f t="shared" si="0"/>
        <v>16505.060000000001</v>
      </c>
      <c r="F13" s="6">
        <f t="shared" si="1"/>
        <v>2.0921263904921144E-2</v>
      </c>
      <c r="G13" s="14">
        <f t="shared" si="2"/>
        <v>181732.36735326174</v>
      </c>
      <c r="H13" s="10">
        <f t="shared" si="3"/>
        <v>2.1911305444087503</v>
      </c>
    </row>
    <row r="14" spans="2:8" x14ac:dyDescent="0.45">
      <c r="B14" s="20" t="str">
        <f>+'County Data'!$B$24</f>
        <v>Jackson</v>
      </c>
      <c r="C14" s="15">
        <f>VLOOKUP($B14,'County Data'!$B$10:$L$46,2,FALSE)</f>
        <v>221290</v>
      </c>
      <c r="D14" s="29">
        <f>VLOOKUP($B14,'County Data'!$B$10:$L$46,8,FALSE)</f>
        <v>0.20100000000000001</v>
      </c>
      <c r="E14" s="31">
        <f t="shared" si="0"/>
        <v>44479.29</v>
      </c>
      <c r="F14" s="6">
        <f t="shared" si="1"/>
        <v>5.6380465408397175E-2</v>
      </c>
      <c r="G14" s="14">
        <f t="shared" si="2"/>
        <v>489748.39654580236</v>
      </c>
      <c r="H14" s="10">
        <f t="shared" si="3"/>
        <v>2.2131519569153708</v>
      </c>
    </row>
    <row r="15" spans="2:8" x14ac:dyDescent="0.45">
      <c r="B15" s="20" t="str">
        <f>+'County Data'!$B$46</f>
        <v>Yamhill</v>
      </c>
      <c r="C15" s="15">
        <f>VLOOKUP($B15,'County Data'!$B$10:$L$46,2,FALSE)</f>
        <v>108060</v>
      </c>
      <c r="D15" s="29">
        <f>VLOOKUP($B15,'County Data'!$B$10:$L$46,8,FALSE)</f>
        <v>0.22600000000000001</v>
      </c>
      <c r="E15" s="31">
        <f t="shared" si="0"/>
        <v>24421.56</v>
      </c>
      <c r="F15" s="6">
        <f t="shared" si="1"/>
        <v>3.0955955430023642E-2</v>
      </c>
      <c r="G15" s="14">
        <f t="shared" si="2"/>
        <v>268898.62340759276</v>
      </c>
      <c r="H15" s="10">
        <f t="shared" si="3"/>
        <v>2.4884196132481287</v>
      </c>
    </row>
    <row r="16" spans="2:8" x14ac:dyDescent="0.45">
      <c r="B16" s="20" t="str">
        <f>+'County Data'!$B$18</f>
        <v>Deschutes</v>
      </c>
      <c r="C16" s="15">
        <f>VLOOKUP($B16,'County Data'!$B$10:$L$46,2,FALSE)</f>
        <v>193000</v>
      </c>
      <c r="D16" s="29">
        <f>VLOOKUP($B16,'County Data'!$B$10:$L$46,8,FALSE)</f>
        <v>0.27600000000000002</v>
      </c>
      <c r="E16" s="31">
        <f t="shared" si="0"/>
        <v>53268.000000000007</v>
      </c>
      <c r="F16" s="6">
        <f t="shared" si="1"/>
        <v>6.752074125676244E-2</v>
      </c>
      <c r="G16" s="14">
        <f t="shared" si="2"/>
        <v>586518.30070133321</v>
      </c>
      <c r="H16" s="10">
        <f t="shared" si="3"/>
        <v>3.0389549259136435</v>
      </c>
    </row>
    <row r="17" spans="2:8" x14ac:dyDescent="0.45">
      <c r="B17" s="20" t="str">
        <f>+'County Data'!$B$40</f>
        <v>Umatilla</v>
      </c>
      <c r="C17" s="15">
        <f>VLOOKUP($B17,'County Data'!$B$10:$L$46,2,FALSE)</f>
        <v>81160</v>
      </c>
      <c r="D17" s="29">
        <f>VLOOKUP($B17,'County Data'!$B$10:$L$46,8,FALSE)</f>
        <v>0.29099999999999998</v>
      </c>
      <c r="E17" s="31">
        <f t="shared" si="0"/>
        <v>23617.559999999998</v>
      </c>
      <c r="F17" s="6">
        <f t="shared" si="1"/>
        <v>2.9936831829166892E-2</v>
      </c>
      <c r="G17" s="14">
        <f t="shared" si="2"/>
        <v>260046.01557993121</v>
      </c>
      <c r="H17" s="10">
        <f t="shared" si="3"/>
        <v>3.2041155197132971</v>
      </c>
    </row>
    <row r="18" spans="2:8" x14ac:dyDescent="0.45">
      <c r="B18" s="20" t="str">
        <f>+'County Data'!$B$31</f>
        <v>Linn</v>
      </c>
      <c r="C18" s="15">
        <f>VLOOKUP($B18,'County Data'!$B$10:$L$46,2,FALSE)</f>
        <v>126550</v>
      </c>
      <c r="D18" s="29">
        <f>VLOOKUP($B18,'County Data'!$B$10:$L$46,8,FALSE)</f>
        <v>0.316</v>
      </c>
      <c r="E18" s="31">
        <f t="shared" si="0"/>
        <v>39989.800000000003</v>
      </c>
      <c r="F18" s="6">
        <f t="shared" si="1"/>
        <v>5.0689737529279841E-2</v>
      </c>
      <c r="G18" s="14">
        <f t="shared" si="2"/>
        <v>440315.94092862832</v>
      </c>
      <c r="H18" s="10">
        <f t="shared" si="3"/>
        <v>3.4793831760460554</v>
      </c>
    </row>
    <row r="19" spans="2:8" x14ac:dyDescent="0.45">
      <c r="B19" s="20" t="str">
        <f>+'County Data'!$B$27</f>
        <v>Klamath</v>
      </c>
      <c r="C19" s="15">
        <f>VLOOKUP($B19,'County Data'!$B$10:$L$46,2,FALSE)</f>
        <v>68190</v>
      </c>
      <c r="D19" s="29">
        <f>VLOOKUP($B19,'County Data'!$B$10:$L$46,8,FALSE)</f>
        <v>0.376</v>
      </c>
      <c r="E19" s="31">
        <f t="shared" si="0"/>
        <v>25639.439999999999</v>
      </c>
      <c r="F19" s="6">
        <f t="shared" si="1"/>
        <v>3.2499699523321414E-2</v>
      </c>
      <c r="G19" s="14">
        <f t="shared" si="2"/>
        <v>282308.3423393743</v>
      </c>
      <c r="H19" s="10">
        <f t="shared" si="3"/>
        <v>4.1400255512446735</v>
      </c>
    </row>
    <row r="20" spans="2:8" x14ac:dyDescent="0.45">
      <c r="B20" s="20" t="str">
        <f>+'County Data'!$B$30</f>
        <v>Lincoln</v>
      </c>
      <c r="C20" s="15">
        <f>VLOOKUP($B20,'County Data'!$B$10:$L$46,2,FALSE)</f>
        <v>48260</v>
      </c>
      <c r="D20" s="29">
        <f>VLOOKUP($B20,'County Data'!$B$10:$L$46,8,FALSE)</f>
        <v>0.376</v>
      </c>
      <c r="E20" s="31">
        <f t="shared" si="0"/>
        <v>18145.759999999998</v>
      </c>
      <c r="F20" s="6">
        <f t="shared" si="1"/>
        <v>2.300096053666947E-2</v>
      </c>
      <c r="G20" s="14">
        <f t="shared" si="2"/>
        <v>199797.6331030679</v>
      </c>
      <c r="H20" s="10">
        <f t="shared" si="3"/>
        <v>4.1400255512446726</v>
      </c>
    </row>
    <row r="21" spans="2:8" x14ac:dyDescent="0.45">
      <c r="B21" s="20" t="str">
        <f>+'County Data'!$B$15</f>
        <v>Coos</v>
      </c>
      <c r="C21" s="15">
        <f>VLOOKUP($B21,'County Data'!$B$10:$L$46,2,FALSE)</f>
        <v>63290</v>
      </c>
      <c r="D21" s="29">
        <f>VLOOKUP($B21,'County Data'!$B$10:$L$46,8,FALSE)</f>
        <v>0.38400000000000001</v>
      </c>
      <c r="E21" s="31">
        <f t="shared" si="0"/>
        <v>24303.360000000001</v>
      </c>
      <c r="F21" s="6">
        <f t="shared" si="1"/>
        <v>3.0806129049897685E-2</v>
      </c>
      <c r="G21" s="14">
        <f t="shared" si="2"/>
        <v>267597.15792845143</v>
      </c>
      <c r="H21" s="10">
        <f t="shared" si="3"/>
        <v>4.2281112012711555</v>
      </c>
    </row>
    <row r="22" spans="2:8" x14ac:dyDescent="0.45">
      <c r="B22" s="20" t="str">
        <f>+'County Data'!$B$17</f>
        <v>Curry</v>
      </c>
      <c r="C22" s="15">
        <f>VLOOKUP($B22,'County Data'!$B$10:$L$46,2,FALSE)</f>
        <v>23000</v>
      </c>
      <c r="D22" s="29">
        <f>VLOOKUP($B22,'County Data'!$B$10:$L$46,8,FALSE)</f>
        <v>0.38700000000000001</v>
      </c>
      <c r="E22" s="31">
        <f t="shared" si="0"/>
        <v>8901</v>
      </c>
      <c r="F22" s="6">
        <f t="shared" si="1"/>
        <v>1.1282610909484915E-2</v>
      </c>
      <c r="G22" s="14">
        <f t="shared" si="2"/>
        <v>98006.296360715001</v>
      </c>
      <c r="H22" s="10">
        <f t="shared" si="3"/>
        <v>4.2611433200310866</v>
      </c>
    </row>
    <row r="23" spans="2:8" x14ac:dyDescent="0.45">
      <c r="B23" s="20" t="str">
        <f>+'County Data'!$B$13</f>
        <v>Clatsop</v>
      </c>
      <c r="C23" s="15">
        <f>VLOOKUP($B23,'County Data'!$B$10:$L$46,2,FALSE)</f>
        <v>39330</v>
      </c>
      <c r="D23" s="29">
        <f>VLOOKUP($B23,'County Data'!$B$10:$L$46,8,FALSE)</f>
        <v>0.39</v>
      </c>
      <c r="E23" s="31">
        <f t="shared" si="0"/>
        <v>15338.7</v>
      </c>
      <c r="F23" s="6">
        <f t="shared" si="1"/>
        <v>1.9442824846344936E-2</v>
      </c>
      <c r="G23" s="14">
        <f t="shared" si="2"/>
        <v>168889.92000765074</v>
      </c>
      <c r="H23" s="10">
        <f t="shared" si="3"/>
        <v>4.2941754387910178</v>
      </c>
    </row>
    <row r="24" spans="2:8" x14ac:dyDescent="0.45">
      <c r="B24" s="20" t="str">
        <f>+'County Data'!$B$10</f>
        <v>Baker</v>
      </c>
      <c r="C24" s="15">
        <f>VLOOKUP($B24,'County Data'!$B$10:$L$46,2,FALSE)</f>
        <v>16820</v>
      </c>
      <c r="D24" s="29">
        <f>VLOOKUP($B24,'County Data'!$B$10:$L$46,8,FALSE)</f>
        <v>0.41</v>
      </c>
      <c r="E24" s="31">
        <f t="shared" si="0"/>
        <v>6896.2</v>
      </c>
      <c r="F24" s="6">
        <f t="shared" si="1"/>
        <v>8.7413932540152638E-3</v>
      </c>
      <c r="G24" s="14">
        <f t="shared" si="2"/>
        <v>75932.032464078497</v>
      </c>
      <c r="H24" s="10">
        <f t="shared" si="3"/>
        <v>4.5143895638572236</v>
      </c>
    </row>
    <row r="25" spans="2:8" x14ac:dyDescent="0.45">
      <c r="B25" s="20" t="str">
        <f>+'County Data'!$B$19</f>
        <v>Douglas</v>
      </c>
      <c r="C25" s="15">
        <f>VLOOKUP($B25,'County Data'!$B$10:$L$46,2,FALSE)</f>
        <v>112250</v>
      </c>
      <c r="D25" s="29">
        <f>VLOOKUP($B25,'County Data'!$B$10:$L$46,8,FALSE)</f>
        <v>0.41199999999999998</v>
      </c>
      <c r="E25" s="31">
        <f t="shared" si="0"/>
        <v>46247</v>
      </c>
      <c r="F25" s="6">
        <f t="shared" si="1"/>
        <v>5.8621155682614182E-2</v>
      </c>
      <c r="G25" s="14">
        <f t="shared" si="2"/>
        <v>509212.13209684152</v>
      </c>
      <c r="H25" s="10">
        <f t="shared" si="3"/>
        <v>4.536410976363844</v>
      </c>
    </row>
    <row r="26" spans="2:8" x14ac:dyDescent="0.45">
      <c r="B26" s="20" t="str">
        <f>+'County Data'!$B$36</f>
        <v>Gilliam, Sherman, Wasco</v>
      </c>
      <c r="C26" s="15">
        <f>VLOOKUP($B26,'County Data'!$B$10:$L$46,2,FALSE)</f>
        <v>31000</v>
      </c>
      <c r="D26" s="29">
        <f>VLOOKUP($B26,'County Data'!$B$10:$L$46,8,FALSE)</f>
        <v>0.41499999999999998</v>
      </c>
      <c r="E26" s="31">
        <f t="shared" si="0"/>
        <v>12865</v>
      </c>
      <c r="F26" s="6">
        <f t="shared" si="1"/>
        <v>1.6307245180375622E-2</v>
      </c>
      <c r="G26" s="14">
        <f t="shared" si="2"/>
        <v>141652.73594883701</v>
      </c>
      <c r="H26" s="10">
        <f t="shared" si="3"/>
        <v>4.5694430951237743</v>
      </c>
    </row>
    <row r="27" spans="2:8" x14ac:dyDescent="0.4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1.4323047021374241E-2</v>
      </c>
      <c r="G27" s="14">
        <f t="shared" si="2"/>
        <v>124417.01680815521</v>
      </c>
      <c r="H27" s="10">
        <f t="shared" si="3"/>
        <v>4.6355073326436367</v>
      </c>
    </row>
    <row r="28" spans="2:8" x14ac:dyDescent="0.45">
      <c r="B28" s="20" t="str">
        <f>+'County Data'!$B$14</f>
        <v>Columbia</v>
      </c>
      <c r="C28" s="15">
        <f>VLOOKUP($B28,'County Data'!$B$10:$L$46,2,FALSE)</f>
        <v>52750</v>
      </c>
      <c r="D28" s="29">
        <f>VLOOKUP($B28,'County Data'!$B$10:$L$46,8,FALSE)</f>
        <v>0.436</v>
      </c>
      <c r="E28" s="31">
        <f t="shared" si="0"/>
        <v>22999</v>
      </c>
      <c r="F28" s="6">
        <f t="shared" si="1"/>
        <v>2.9152765791174425E-2</v>
      </c>
      <c r="G28" s="14">
        <f t="shared" si="2"/>
        <v>253235.23311988363</v>
      </c>
      <c r="H28" s="10">
        <f t="shared" si="3"/>
        <v>4.8006679264432917</v>
      </c>
    </row>
    <row r="29" spans="2:8" x14ac:dyDescent="0.45">
      <c r="B29" s="20" t="str">
        <f>+'County Data'!$B$22</f>
        <v>Harney</v>
      </c>
      <c r="C29" s="15">
        <f>VLOOKUP($B29,'County Data'!$B$10:$L$46,2,FALSE)</f>
        <v>7360</v>
      </c>
      <c r="D29" s="29">
        <f>VLOOKUP($B29,'County Data'!$B$10:$L$46,8,FALSE)</f>
        <v>0.443</v>
      </c>
      <c r="E29" s="31">
        <f t="shared" si="0"/>
        <v>3260.48</v>
      </c>
      <c r="F29" s="6">
        <f t="shared" si="1"/>
        <v>4.1328757688077044E-3</v>
      </c>
      <c r="G29" s="14">
        <f t="shared" si="2"/>
        <v>35900.187524793175</v>
      </c>
      <c r="H29" s="10">
        <f t="shared" si="3"/>
        <v>4.8777428702164638</v>
      </c>
    </row>
    <row r="30" spans="2:8" x14ac:dyDescent="0.45">
      <c r="B30" s="20" t="str">
        <f>+'County Data'!$B$26</f>
        <v>Josephine</v>
      </c>
      <c r="C30" s="15">
        <f>VLOOKUP($B30,'County Data'!$B$10:$L$46,2,FALSE)</f>
        <v>86750</v>
      </c>
      <c r="D30" s="29">
        <f>VLOOKUP($B30,'County Data'!$B$10:$L$46,8,FALSE)</f>
        <v>0.45</v>
      </c>
      <c r="E30" s="31">
        <f t="shared" si="0"/>
        <v>39037.5</v>
      </c>
      <c r="F30" s="6">
        <f t="shared" si="1"/>
        <v>4.9482633791598403E-2</v>
      </c>
      <c r="G30" s="14">
        <f t="shared" si="2"/>
        <v>429830.44536360091</v>
      </c>
      <c r="H30" s="10">
        <f t="shared" si="3"/>
        <v>4.9548178139896359</v>
      </c>
    </row>
    <row r="31" spans="2:8" x14ac:dyDescent="0.45">
      <c r="B31" s="20" t="str">
        <f>+'County Data'!$B$34</f>
        <v>Morrow</v>
      </c>
      <c r="C31" s="15">
        <f>VLOOKUP($B31,'County Data'!$B$10:$L$46,2,FALSE)</f>
        <v>12680</v>
      </c>
      <c r="D31" s="29">
        <f>VLOOKUP($B31,'County Data'!$B$10:$L$46,8,FALSE)</f>
        <v>0.45900000000000002</v>
      </c>
      <c r="E31" s="31">
        <f t="shared" si="0"/>
        <v>5820.12</v>
      </c>
      <c r="F31" s="6">
        <f t="shared" si="1"/>
        <v>7.3773901142019259E-3</v>
      </c>
      <c r="G31" s="14">
        <f t="shared" si="2"/>
        <v>64083.631679016355</v>
      </c>
      <c r="H31" s="10">
        <f t="shared" si="3"/>
        <v>5.0539141702694286</v>
      </c>
    </row>
    <row r="32" spans="2:8" x14ac:dyDescent="0.4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1.4261646091989289E-2</v>
      </c>
      <c r="G32" s="14">
        <f t="shared" si="2"/>
        <v>123883.65819724486</v>
      </c>
      <c r="H32" s="10">
        <f t="shared" si="3"/>
        <v>5.285139001588945</v>
      </c>
    </row>
    <row r="33" spans="2:8" x14ac:dyDescent="0.45">
      <c r="B33" s="20" t="str">
        <f>+'County Data'!$B$32</f>
        <v>Malheur</v>
      </c>
      <c r="C33" s="15">
        <f>VLOOKUP($B33,'County Data'!$B$10:$L$46,2,FALSE)</f>
        <v>32030</v>
      </c>
      <c r="D33" s="29">
        <f>VLOOKUP($B33,'County Data'!$B$10:$L$46,8,FALSE)</f>
        <v>0.48399999999999999</v>
      </c>
      <c r="E33" s="31">
        <f t="shared" si="0"/>
        <v>15502.52</v>
      </c>
      <c r="F33" s="6">
        <f t="shared" si="1"/>
        <v>1.9650477617852834E-2</v>
      </c>
      <c r="G33" s="14">
        <f t="shared" si="2"/>
        <v>170693.69390606802</v>
      </c>
      <c r="H33" s="10">
        <f t="shared" si="3"/>
        <v>5.329181826602186</v>
      </c>
    </row>
    <row r="34" spans="2:8" x14ac:dyDescent="0.45">
      <c r="B34" s="20" t="str">
        <f>+'County Data'!$B$23</f>
        <v>Hood River</v>
      </c>
      <c r="C34" s="15">
        <f>VLOOKUP($B34,'County Data'!$B$10:$L$46,2,FALSE)</f>
        <v>25480</v>
      </c>
      <c r="D34" s="29">
        <f>VLOOKUP($B34,'County Data'!$B$10:$L$46,8,FALSE)</f>
        <v>0.52200000000000002</v>
      </c>
      <c r="E34" s="31">
        <f t="shared" si="0"/>
        <v>13300.560000000001</v>
      </c>
      <c r="F34" s="6">
        <f t="shared" si="1"/>
        <v>1.6859346518173092E-2</v>
      </c>
      <c r="G34" s="14">
        <f t="shared" si="2"/>
        <v>146448.55916452888</v>
      </c>
      <c r="H34" s="10">
        <f t="shared" si="3"/>
        <v>5.7475886642279779</v>
      </c>
    </row>
    <row r="35" spans="2:8" x14ac:dyDescent="0.45">
      <c r="B35" s="20" t="str">
        <f>+'County Data'!$B$25</f>
        <v>Jefferson</v>
      </c>
      <c r="C35" s="15">
        <f>VLOOKUP($B35,'County Data'!$B$10:$L$46,2,FALSE)</f>
        <v>23840</v>
      </c>
      <c r="D35" s="29">
        <f>VLOOKUP($B35,'County Data'!$B$10:$L$46,8,FALSE)</f>
        <v>0.63100000000000001</v>
      </c>
      <c r="E35" s="31">
        <f t="shared" si="0"/>
        <v>15043.04</v>
      </c>
      <c r="F35" s="6">
        <f t="shared" si="1"/>
        <v>1.9068056085363213E-2</v>
      </c>
      <c r="G35" s="14">
        <f t="shared" si="2"/>
        <v>165634.49459679701</v>
      </c>
      <c r="H35" s="10">
        <f t="shared" si="3"/>
        <v>6.947755645838801</v>
      </c>
    </row>
    <row r="36" spans="2:8" x14ac:dyDescent="0.45">
      <c r="B36" s="20" t="str">
        <f>+'County Data'!$B$28</f>
        <v>Lake</v>
      </c>
      <c r="C36" s="15">
        <f>VLOOKUP($B36,'County Data'!$B$10:$L$46,2,FALSE)</f>
        <v>8080</v>
      </c>
      <c r="D36" s="29">
        <f>VLOOKUP($B36,'County Data'!$B$10:$L$46,8,FALSE)</f>
        <v>0.63300000000000001</v>
      </c>
      <c r="E36" s="31">
        <f t="shared" si="0"/>
        <v>5114.6400000000003</v>
      </c>
      <c r="F36" s="6">
        <f t="shared" si="1"/>
        <v>6.4831471814501664E-3</v>
      </c>
      <c r="G36" s="14">
        <f t="shared" si="2"/>
        <v>56315.798631431011</v>
      </c>
      <c r="H36" s="10">
        <f t="shared" si="3"/>
        <v>6.9697770583454224</v>
      </c>
    </row>
    <row r="37" spans="2:8" x14ac:dyDescent="0.45">
      <c r="B37" s="20" t="str">
        <f>+'County Data'!$B$39</f>
        <v>Tillamook</v>
      </c>
      <c r="C37" s="15">
        <f>VLOOKUP($B37,'County Data'!$B$10:$L$46,2,FALSE)</f>
        <v>26500</v>
      </c>
      <c r="D37" s="29">
        <f>VLOOKUP($B37,'County Data'!$B$10:$L$46,8,FALSE)</f>
        <v>0.69599999999999995</v>
      </c>
      <c r="E37" s="31">
        <f t="shared" si="0"/>
        <v>18444</v>
      </c>
      <c r="F37" s="6">
        <f t="shared" si="1"/>
        <v>2.3378999619653944E-2</v>
      </c>
      <c r="G37" s="14">
        <f t="shared" si="2"/>
        <v>203081.46613605518</v>
      </c>
      <c r="H37" s="10">
        <f t="shared" si="3"/>
        <v>7.663451552303969</v>
      </c>
    </row>
    <row r="38" spans="2:8" x14ac:dyDescent="0.45">
      <c r="B38" s="20" t="str">
        <f>+'County Data'!$B$21</f>
        <v>Grant</v>
      </c>
      <c r="C38" s="15">
        <f>VLOOKUP($B38,'County Data'!$B$10:$L$46,2,FALSE)</f>
        <v>7360</v>
      </c>
      <c r="D38" s="29">
        <f>VLOOKUP($B38,'County Data'!$B$10:$L$46,8,FALSE)</f>
        <v>1</v>
      </c>
      <c r="E38" s="31">
        <f t="shared" si="0"/>
        <v>7360</v>
      </c>
      <c r="F38" s="6">
        <f t="shared" si="1"/>
        <v>9.3292906745094904E-3</v>
      </c>
      <c r="G38" s="14">
        <f t="shared" si="2"/>
        <v>81038.79802436383</v>
      </c>
      <c r="H38" s="10">
        <f t="shared" si="3"/>
        <v>11.010706253310303</v>
      </c>
    </row>
    <row r="39" spans="2:8" x14ac:dyDescent="0.45">
      <c r="B39" s="20" t="str">
        <f>+'County Data'!$B$42</f>
        <v>Wallowa</v>
      </c>
      <c r="C39" s="15">
        <f>VLOOKUP($B39,'County Data'!$B$10:$L$46,2,FALSE)</f>
        <v>7150</v>
      </c>
      <c r="D39" s="29">
        <f>VLOOKUP($B39,'County Data'!$B$10:$L$46,8,FALSE)</f>
        <v>1</v>
      </c>
      <c r="E39" s="31">
        <f t="shared" si="0"/>
        <v>7150</v>
      </c>
      <c r="F39" s="6">
        <f t="shared" si="1"/>
        <v>9.0631016742857146E-3</v>
      </c>
      <c r="G39" s="14">
        <f t="shared" si="2"/>
        <v>78726.549711168656</v>
      </c>
      <c r="H39" s="10">
        <f t="shared" si="3"/>
        <v>11.010706253310302</v>
      </c>
    </row>
    <row r="40" spans="2:8" x14ac:dyDescent="0.4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1.8252960015344654E-3</v>
      </c>
      <c r="G40" s="14">
        <f t="shared" si="2"/>
        <v>15855.417004766834</v>
      </c>
      <c r="H40" s="10">
        <f t="shared" si="3"/>
        <v>11.010706253310302</v>
      </c>
    </row>
    <row r="41" spans="2:8" x14ac:dyDescent="0.45">
      <c r="B41" s="4" t="s">
        <v>2</v>
      </c>
      <c r="C41" s="5">
        <f>SUM(C7:C40)</f>
        <v>4236400</v>
      </c>
      <c r="D41" s="5">
        <f>SUM(D7:D40)</f>
        <v>14.057999999999998</v>
      </c>
      <c r="E41" s="5">
        <f>SUM(E7:E40)</f>
        <v>788913.14</v>
      </c>
      <c r="F41" s="8">
        <f>SUM(F7:F40)</f>
        <v>1</v>
      </c>
      <c r="G41" s="11">
        <f>SUM(G7:G40)</f>
        <v>8686490.8439166639</v>
      </c>
      <c r="H41" s="12">
        <f t="shared" ref="H41" si="4">G41/C41</f>
        <v>2.0504416117261504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BEAUDRAULT Sara</cp:lastModifiedBy>
  <cp:lastPrinted>2018-05-15T16:28:56Z</cp:lastPrinted>
  <dcterms:created xsi:type="dcterms:W3CDTF">2016-05-10T19:52:04Z</dcterms:created>
  <dcterms:modified xsi:type="dcterms:W3CDTF">2021-02-18T17:06:51Z</dcterms:modified>
</cp:coreProperties>
</file>