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I:\HST\Projects\EISO\Phase 2 Planning\CLHO-CD\"/>
    </mc:Choice>
  </mc:AlternateContent>
  <xr:revisionPtr revIDLastSave="0" documentId="13_ncr:1_{94F6F093-6272-41CA-94DE-564673BC550A}" xr6:coauthVersionLast="46" xr6:coauthVersionMax="46" xr10:uidLastSave="{00000000-0000-0000-0000-000000000000}"/>
  <bookViews>
    <workbookView xWindow="3900" yWindow="2610" windowWidth="21600" windowHeight="11385" tabRatio="684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definedNames>
    <definedName name="_xlnm._FilterDatabase" localSheetId="2" hidden="1">'County Data'!#REF!</definedName>
    <definedName name="_xlnm._FilterDatabase" localSheetId="4" hidden="1">Floor!$B$6:$F$45</definedName>
    <definedName name="_xlnm._FilterDatabase" localSheetId="8" hidden="1">Rurality!$B$6:$H$40</definedName>
    <definedName name="_xlnm.Print_Area" localSheetId="2">'County Data'!$A$1:$P$48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3" l="1"/>
  <c r="C36" i="2" l="1"/>
  <c r="R9" i="21" l="1"/>
  <c r="R8" i="21"/>
  <c r="R7" i="21"/>
  <c r="S59" i="21"/>
  <c r="S58" i="21"/>
  <c r="S57" i="21"/>
  <c r="S56" i="21"/>
  <c r="S55" i="21"/>
  <c r="S54" i="21"/>
  <c r="S53" i="21"/>
  <c r="N58" i="21"/>
  <c r="R12" i="21" l="1"/>
  <c r="S12" i="21" s="1"/>
  <c r="C7" i="13" s="1"/>
  <c r="D20" i="13"/>
  <c r="D19" i="13"/>
  <c r="D21" i="13"/>
  <c r="D18" i="13"/>
  <c r="D17" i="13"/>
  <c r="D16" i="13"/>
  <c r="D15" i="13"/>
  <c r="D13" i="13" l="1"/>
  <c r="D41" i="8"/>
  <c r="T4" i="9"/>
  <c r="O4" i="9"/>
  <c r="J4" i="9"/>
  <c r="E4" i="9"/>
  <c r="I7" i="21" l="1"/>
  <c r="B39" i="21"/>
  <c r="C39" i="21" s="1"/>
  <c r="B34" i="21"/>
  <c r="C34" i="21" s="1"/>
  <c r="B17" i="21"/>
  <c r="C17" i="21" l="1"/>
  <c r="C45" i="21" s="1"/>
  <c r="C47" i="2" l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9" i="1"/>
  <c r="I11" i="21"/>
  <c r="I10" i="21"/>
  <c r="C9" i="13"/>
  <c r="I9" i="21" s="1"/>
  <c r="C8" i="13"/>
  <c r="I8" i="21" s="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1" i="2"/>
  <c r="C13" i="13" l="1"/>
  <c r="C15" i="13" s="1"/>
  <c r="C31" i="13"/>
  <c r="N8" i="2" s="1"/>
  <c r="C32" i="13"/>
  <c r="O8" i="2" s="1"/>
  <c r="C33" i="13"/>
  <c r="P8" i="2" s="1"/>
  <c r="C30" i="13"/>
  <c r="M8" i="2" s="1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19" i="13" l="1"/>
  <c r="C20" i="13"/>
  <c r="C16" i="13"/>
  <c r="C21" i="13"/>
  <c r="C17" i="13"/>
  <c r="C14" i="13"/>
  <c r="C18" i="13"/>
  <c r="C43" i="21"/>
  <c r="D43" i="21" l="1"/>
  <c r="B7" i="9" l="1"/>
  <c r="B8" i="9"/>
  <c r="B11" i="9"/>
  <c r="B9" i="9"/>
  <c r="B10" i="9"/>
  <c r="B34" i="9"/>
  <c r="B16" i="9"/>
  <c r="B14" i="9"/>
  <c r="B25" i="9"/>
  <c r="B24" i="9"/>
  <c r="B22" i="9"/>
  <c r="B31" i="9"/>
  <c r="B39" i="9"/>
  <c r="B19" i="9"/>
  <c r="B38" i="9"/>
  <c r="B28" i="9"/>
  <c r="B18" i="9"/>
  <c r="B27" i="9"/>
  <c r="B20" i="9"/>
  <c r="B40" i="9"/>
  <c r="B12" i="9"/>
  <c r="B36" i="9"/>
  <c r="B21" i="9"/>
  <c r="B33" i="9"/>
  <c r="B23" i="9"/>
  <c r="B30" i="9"/>
  <c r="B37" i="9"/>
  <c r="B26" i="9"/>
  <c r="B29" i="9"/>
  <c r="B15" i="9"/>
  <c r="B35" i="9"/>
  <c r="B17" i="9"/>
  <c r="B32" i="9"/>
  <c r="B13" i="9"/>
  <c r="B7" i="8"/>
  <c r="E7" i="8" s="1"/>
  <c r="F7" i="8" s="1"/>
  <c r="B8" i="8"/>
  <c r="E8" i="8" s="1"/>
  <c r="B11" i="8"/>
  <c r="E11" i="8" s="1"/>
  <c r="B9" i="8"/>
  <c r="E9" i="8" s="1"/>
  <c r="B10" i="8"/>
  <c r="E10" i="8" s="1"/>
  <c r="B34" i="8"/>
  <c r="E34" i="8" s="1"/>
  <c r="B15" i="8"/>
  <c r="B14" i="8"/>
  <c r="B25" i="8"/>
  <c r="B24" i="8"/>
  <c r="E24" i="8" s="1"/>
  <c r="B22" i="8"/>
  <c r="E22" i="8" s="1"/>
  <c r="B31" i="8"/>
  <c r="E31" i="8" s="1"/>
  <c r="B39" i="8"/>
  <c r="B19" i="8"/>
  <c r="B38" i="8"/>
  <c r="E38" i="8" s="1"/>
  <c r="B27" i="8"/>
  <c r="B18" i="8"/>
  <c r="E18" i="8" s="1"/>
  <c r="B28" i="8"/>
  <c r="E28" i="8" s="1"/>
  <c r="B20" i="8"/>
  <c r="B40" i="8"/>
  <c r="E40" i="8" s="1"/>
  <c r="B12" i="8"/>
  <c r="B36" i="8"/>
  <c r="B21" i="8"/>
  <c r="B33" i="8"/>
  <c r="B23" i="8"/>
  <c r="E23" i="8" s="1"/>
  <c r="B30" i="8"/>
  <c r="E30" i="8" s="1"/>
  <c r="B37" i="8"/>
  <c r="B26" i="8"/>
  <c r="E26" i="8" s="1"/>
  <c r="B29" i="8"/>
  <c r="E29" i="8" s="1"/>
  <c r="B16" i="8"/>
  <c r="B35" i="8"/>
  <c r="B17" i="8"/>
  <c r="B32" i="8"/>
  <c r="E32" i="8" s="1"/>
  <c r="B13" i="8"/>
  <c r="E13" i="8" s="1"/>
  <c r="B7" i="18"/>
  <c r="B9" i="18"/>
  <c r="C9" i="18" s="1"/>
  <c r="B22" i="18"/>
  <c r="C22" i="18" s="1"/>
  <c r="B18" i="18"/>
  <c r="B10" i="18"/>
  <c r="C10" i="18" s="1"/>
  <c r="B19" i="18"/>
  <c r="C19" i="18" s="1"/>
  <c r="B13" i="18"/>
  <c r="C13" i="18" s="1"/>
  <c r="B8" i="18"/>
  <c r="C8" i="18" s="1"/>
  <c r="B17" i="18"/>
  <c r="C17" i="18" s="1"/>
  <c r="B15" i="18"/>
  <c r="C15" i="18" s="1"/>
  <c r="B24" i="18"/>
  <c r="B32" i="18"/>
  <c r="B36" i="18"/>
  <c r="C36" i="18" s="1"/>
  <c r="B16" i="18"/>
  <c r="B29" i="18"/>
  <c r="C29" i="18" s="1"/>
  <c r="B37" i="18"/>
  <c r="C37" i="18" s="1"/>
  <c r="B21" i="18"/>
  <c r="C21" i="18" s="1"/>
  <c r="B30" i="18"/>
  <c r="C30" i="18" s="1"/>
  <c r="B33" i="18"/>
  <c r="C33" i="18" s="1"/>
  <c r="B34" i="18"/>
  <c r="C34" i="18" s="1"/>
  <c r="B40" i="18"/>
  <c r="B38" i="18"/>
  <c r="C38" i="18" s="1"/>
  <c r="B35" i="18"/>
  <c r="C35" i="18" s="1"/>
  <c r="B20" i="18"/>
  <c r="C20" i="18" s="1"/>
  <c r="B26" i="18"/>
  <c r="C26" i="18" s="1"/>
  <c r="B28" i="18"/>
  <c r="C28" i="18" s="1"/>
  <c r="B23" i="18"/>
  <c r="B25" i="18"/>
  <c r="C25" i="18" s="1"/>
  <c r="B14" i="18"/>
  <c r="B31" i="18"/>
  <c r="B27" i="18"/>
  <c r="C27" i="18" s="1"/>
  <c r="B39" i="18"/>
  <c r="B12" i="18"/>
  <c r="C12" i="18" s="1"/>
  <c r="B11" i="18"/>
  <c r="C11" i="18" s="1"/>
  <c r="B13" i="20"/>
  <c r="B9" i="20"/>
  <c r="B35" i="20"/>
  <c r="C35" i="20" s="1"/>
  <c r="B24" i="20"/>
  <c r="C24" i="20" s="1"/>
  <c r="B23" i="20"/>
  <c r="C23" i="20" s="1"/>
  <c r="B10" i="20"/>
  <c r="C10" i="20" s="1"/>
  <c r="B21" i="20"/>
  <c r="B32" i="20"/>
  <c r="C32" i="20" s="1"/>
  <c r="B28" i="20"/>
  <c r="B19" i="20"/>
  <c r="C19" i="20" s="1"/>
  <c r="B12" i="20"/>
  <c r="B30" i="20"/>
  <c r="B16" i="20"/>
  <c r="C16" i="20" s="1"/>
  <c r="B11" i="20"/>
  <c r="B8" i="20"/>
  <c r="B37" i="20"/>
  <c r="C37" i="20" s="1"/>
  <c r="B20" i="20"/>
  <c r="C20" i="20" s="1"/>
  <c r="B15" i="20"/>
  <c r="C15" i="20" s="1"/>
  <c r="B33" i="20"/>
  <c r="C33" i="20" s="1"/>
  <c r="B17" i="20"/>
  <c r="C17" i="20" s="1"/>
  <c r="B40" i="20"/>
  <c r="B34" i="20"/>
  <c r="C34" i="20" s="1"/>
  <c r="B39" i="20"/>
  <c r="C39" i="20" s="1"/>
  <c r="B22" i="20"/>
  <c r="C22" i="20" s="1"/>
  <c r="B25" i="20"/>
  <c r="C25" i="20" s="1"/>
  <c r="B7" i="20"/>
  <c r="C7" i="20" s="1"/>
  <c r="B14" i="20"/>
  <c r="C14" i="20" s="1"/>
  <c r="B31" i="20"/>
  <c r="C31" i="20" s="1"/>
  <c r="B29" i="20"/>
  <c r="C29" i="20" s="1"/>
  <c r="B36" i="20"/>
  <c r="B27" i="20"/>
  <c r="C27" i="20" s="1"/>
  <c r="B38" i="20"/>
  <c r="C38" i="20" s="1"/>
  <c r="B26" i="20"/>
  <c r="B18" i="20"/>
  <c r="C18" i="20" s="1"/>
  <c r="B40" i="19"/>
  <c r="B39" i="19"/>
  <c r="B36" i="19"/>
  <c r="B29" i="19"/>
  <c r="B38" i="19"/>
  <c r="B16" i="19"/>
  <c r="B22" i="19"/>
  <c r="B32" i="19"/>
  <c r="B21" i="19"/>
  <c r="B28" i="19"/>
  <c r="B23" i="19"/>
  <c r="B15" i="19"/>
  <c r="B8" i="19"/>
  <c r="B27" i="19"/>
  <c r="B11" i="19"/>
  <c r="B17" i="19"/>
  <c r="B37" i="19"/>
  <c r="B13" i="19"/>
  <c r="B26" i="19"/>
  <c r="B7" i="19"/>
  <c r="B31" i="19"/>
  <c r="B9" i="19"/>
  <c r="B33" i="19"/>
  <c r="B18" i="19"/>
  <c r="B20" i="19"/>
  <c r="B12" i="19"/>
  <c r="B10" i="19"/>
  <c r="B19" i="19"/>
  <c r="B30" i="19"/>
  <c r="B35" i="19"/>
  <c r="B14" i="19"/>
  <c r="B34" i="19"/>
  <c r="B25" i="19"/>
  <c r="B24" i="19"/>
  <c r="B36" i="17"/>
  <c r="C36" i="17" s="1"/>
  <c r="B15" i="17"/>
  <c r="C15" i="17" s="1"/>
  <c r="B38" i="17"/>
  <c r="C38" i="17" s="1"/>
  <c r="B23" i="17"/>
  <c r="C23" i="17" s="1"/>
  <c r="B24" i="17"/>
  <c r="C24" i="17" s="1"/>
  <c r="B9" i="17"/>
  <c r="C9" i="17" s="1"/>
  <c r="B21" i="17"/>
  <c r="C21" i="17" s="1"/>
  <c r="B32" i="17"/>
  <c r="C32" i="17" s="1"/>
  <c r="B34" i="17"/>
  <c r="C34" i="17" s="1"/>
  <c r="B10" i="17"/>
  <c r="C10" i="17" s="1"/>
  <c r="B16" i="17"/>
  <c r="C16" i="17" s="1"/>
  <c r="B13" i="17"/>
  <c r="C13" i="17" s="1"/>
  <c r="B8" i="17"/>
  <c r="C8" i="17" s="1"/>
  <c r="B37" i="17"/>
  <c r="C37" i="17" s="1"/>
  <c r="B7" i="17"/>
  <c r="C7" i="17" s="1"/>
  <c r="B28" i="17"/>
  <c r="C28" i="17" s="1"/>
  <c r="B19" i="17"/>
  <c r="C19" i="17" s="1"/>
  <c r="B11" i="17"/>
  <c r="C11" i="17" s="1"/>
  <c r="B17" i="17"/>
  <c r="B14" i="17"/>
  <c r="C14" i="17" s="1"/>
  <c r="B18" i="17"/>
  <c r="C18" i="17" s="1"/>
  <c r="B27" i="17"/>
  <c r="C27" i="17" s="1"/>
  <c r="B40" i="17"/>
  <c r="C40" i="17" s="1"/>
  <c r="B22" i="17"/>
  <c r="C22" i="17" s="1"/>
  <c r="B29" i="17"/>
  <c r="C29" i="17" s="1"/>
  <c r="B30" i="17"/>
  <c r="C30" i="17" s="1"/>
  <c r="B31" i="17"/>
  <c r="C31" i="17" s="1"/>
  <c r="B35" i="17"/>
  <c r="C35" i="17" s="1"/>
  <c r="B39" i="17"/>
  <c r="C39" i="17" s="1"/>
  <c r="B33" i="17"/>
  <c r="C33" i="17" s="1"/>
  <c r="B26" i="17"/>
  <c r="C26" i="17" s="1"/>
  <c r="B12" i="17"/>
  <c r="C12" i="17" s="1"/>
  <c r="B25" i="17"/>
  <c r="C25" i="17" s="1"/>
  <c r="B20" i="17"/>
  <c r="C20" i="17" s="1"/>
  <c r="B7" i="16"/>
  <c r="C7" i="16" s="1"/>
  <c r="B8" i="16"/>
  <c r="C8" i="16" s="1"/>
  <c r="B22" i="16"/>
  <c r="B18" i="16"/>
  <c r="C18" i="16" s="1"/>
  <c r="B9" i="16"/>
  <c r="C9" i="16" s="1"/>
  <c r="B15" i="16"/>
  <c r="C15" i="16" s="1"/>
  <c r="B17" i="16"/>
  <c r="B14" i="16"/>
  <c r="B21" i="16"/>
  <c r="C21" i="16" s="1"/>
  <c r="B12" i="16"/>
  <c r="C12" i="16" s="1"/>
  <c r="B19" i="16"/>
  <c r="C19" i="16" s="1"/>
  <c r="B31" i="16"/>
  <c r="C31" i="16" s="1"/>
  <c r="B34" i="16"/>
  <c r="B11" i="16"/>
  <c r="C11" i="16" s="1"/>
  <c r="B24" i="16"/>
  <c r="C24" i="16" s="1"/>
  <c r="B35" i="16"/>
  <c r="C35" i="16" s="1"/>
  <c r="B23" i="16"/>
  <c r="C23" i="16" s="1"/>
  <c r="B30" i="16"/>
  <c r="C30" i="16" s="1"/>
  <c r="B32" i="16"/>
  <c r="B33" i="16"/>
  <c r="B39" i="16"/>
  <c r="B36" i="16"/>
  <c r="C36" i="16" s="1"/>
  <c r="B38" i="16"/>
  <c r="C38" i="16" s="1"/>
  <c r="B20" i="16"/>
  <c r="C20" i="16" s="1"/>
  <c r="B26" i="16"/>
  <c r="C26" i="16" s="1"/>
  <c r="B28" i="16"/>
  <c r="C28" i="16" s="1"/>
  <c r="B25" i="16"/>
  <c r="B29" i="16"/>
  <c r="C29" i="16" s="1"/>
  <c r="B16" i="16"/>
  <c r="C16" i="16" s="1"/>
  <c r="B40" i="16"/>
  <c r="C40" i="16" s="1"/>
  <c r="B27" i="16"/>
  <c r="C27" i="16" s="1"/>
  <c r="B37" i="16"/>
  <c r="C37" i="16" s="1"/>
  <c r="B13" i="16"/>
  <c r="C13" i="16" s="1"/>
  <c r="B10" i="16"/>
  <c r="C10" i="16" s="1"/>
  <c r="B40" i="15"/>
  <c r="D40" i="15" s="1"/>
  <c r="B8" i="15"/>
  <c r="D8" i="15" s="1"/>
  <c r="B9" i="15"/>
  <c r="B38" i="15"/>
  <c r="B20" i="15"/>
  <c r="D20" i="15" s="1"/>
  <c r="B7" i="15"/>
  <c r="D7" i="15" s="1"/>
  <c r="B35" i="15"/>
  <c r="D35" i="15" s="1"/>
  <c r="B36" i="15"/>
  <c r="D36" i="15" s="1"/>
  <c r="B32" i="15"/>
  <c r="D32" i="15" s="1"/>
  <c r="B26" i="15"/>
  <c r="B16" i="15"/>
  <c r="B24" i="15"/>
  <c r="B10" i="15"/>
  <c r="B13" i="15"/>
  <c r="B15" i="15"/>
  <c r="D15" i="15" s="1"/>
  <c r="B33" i="15"/>
  <c r="B27" i="15"/>
  <c r="B14" i="15"/>
  <c r="B17" i="15"/>
  <c r="D17" i="15" s="1"/>
  <c r="B19" i="15"/>
  <c r="D19" i="15" s="1"/>
  <c r="B37" i="15"/>
  <c r="B28" i="15"/>
  <c r="B39" i="15"/>
  <c r="B22" i="15"/>
  <c r="B30" i="15"/>
  <c r="D30" i="15" s="1"/>
  <c r="B12" i="15"/>
  <c r="D12" i="15" s="1"/>
  <c r="B18" i="15"/>
  <c r="B31" i="15"/>
  <c r="B25" i="15"/>
  <c r="B23" i="15"/>
  <c r="D23" i="15" s="1"/>
  <c r="B21" i="15"/>
  <c r="D21" i="15" s="1"/>
  <c r="B29" i="15"/>
  <c r="D29" i="15" s="1"/>
  <c r="B34" i="15"/>
  <c r="D34" i="15" s="1"/>
  <c r="B11" i="15"/>
  <c r="D11" i="15" s="1"/>
  <c r="B16" i="4"/>
  <c r="B13" i="14"/>
  <c r="C13" i="14" s="1"/>
  <c r="B16" i="14"/>
  <c r="B8" i="14"/>
  <c r="B27" i="14"/>
  <c r="C27" i="14" s="1"/>
  <c r="B20" i="14"/>
  <c r="B23" i="14"/>
  <c r="B28" i="14"/>
  <c r="C28" i="14" s="1"/>
  <c r="B11" i="14"/>
  <c r="B30" i="14"/>
  <c r="C30" i="14" s="1"/>
  <c r="B18" i="14"/>
  <c r="C18" i="14" s="1"/>
  <c r="B15" i="14"/>
  <c r="B17" i="14"/>
  <c r="B21" i="14"/>
  <c r="C21" i="14" s="1"/>
  <c r="B22" i="14"/>
  <c r="B37" i="14"/>
  <c r="C37" i="14" s="1"/>
  <c r="B19" i="14"/>
  <c r="B29" i="14"/>
  <c r="B35" i="14"/>
  <c r="C35" i="14" s="1"/>
  <c r="B33" i="14"/>
  <c r="C33" i="14" s="1"/>
  <c r="B38" i="14"/>
  <c r="C38" i="14" s="1"/>
  <c r="B24" i="14"/>
  <c r="B9" i="14"/>
  <c r="C9" i="14" s="1"/>
  <c r="B39" i="14"/>
  <c r="C39" i="14" s="1"/>
  <c r="B14" i="14"/>
  <c r="B34" i="14"/>
  <c r="B12" i="14"/>
  <c r="B40" i="14"/>
  <c r="B25" i="14"/>
  <c r="B36" i="14"/>
  <c r="C36" i="14" s="1"/>
  <c r="B26" i="14"/>
  <c r="B32" i="14"/>
  <c r="C32" i="14" s="1"/>
  <c r="B10" i="14"/>
  <c r="B7" i="14"/>
  <c r="B31" i="14"/>
  <c r="B21" i="4"/>
  <c r="B28" i="4"/>
  <c r="B26" i="4"/>
  <c r="B14" i="4"/>
  <c r="B19" i="4"/>
  <c r="B10" i="4"/>
  <c r="B35" i="4"/>
  <c r="B17" i="4"/>
  <c r="B8" i="4"/>
  <c r="C8" i="4" s="1"/>
  <c r="B29" i="4"/>
  <c r="C29" i="4" s="1"/>
  <c r="B15" i="4"/>
  <c r="B12" i="4"/>
  <c r="C12" i="4" s="1"/>
  <c r="B25" i="4"/>
  <c r="C25" i="4" s="1"/>
  <c r="B23" i="4"/>
  <c r="C23" i="4" s="1"/>
  <c r="B13" i="4"/>
  <c r="C13" i="4" s="1"/>
  <c r="B32" i="4"/>
  <c r="C32" i="4" s="1"/>
  <c r="B31" i="4"/>
  <c r="C31" i="4" s="1"/>
  <c r="B30" i="4"/>
  <c r="C30" i="4" s="1"/>
  <c r="B18" i="4"/>
  <c r="C18" i="4" s="1"/>
  <c r="B22" i="4"/>
  <c r="C22" i="4" s="1"/>
  <c r="B27" i="4"/>
  <c r="C27" i="4" s="1"/>
  <c r="B24" i="4"/>
  <c r="C24" i="4" s="1"/>
  <c r="B9" i="4"/>
  <c r="C9" i="4" s="1"/>
  <c r="B34" i="4"/>
  <c r="B11" i="4"/>
  <c r="C11" i="4" s="1"/>
  <c r="B33" i="4"/>
  <c r="C33" i="4" s="1"/>
  <c r="B7" i="4"/>
  <c r="C7" i="4" s="1"/>
  <c r="B20" i="4"/>
  <c r="C20" i="4" s="1"/>
  <c r="B38" i="4"/>
  <c r="C38" i="4" s="1"/>
  <c r="B36" i="4"/>
  <c r="C36" i="4" s="1"/>
  <c r="B37" i="4"/>
  <c r="C37" i="4" s="1"/>
  <c r="B39" i="4"/>
  <c r="B40" i="4"/>
  <c r="C40" i="4" s="1"/>
  <c r="D10" i="18"/>
  <c r="D11" i="18"/>
  <c r="J8" i="2"/>
  <c r="I8" i="2"/>
  <c r="L8" i="2"/>
  <c r="K8" i="2"/>
  <c r="H8" i="2"/>
  <c r="G8" i="2"/>
  <c r="F8" i="2"/>
  <c r="C5" i="2"/>
  <c r="E8" i="2"/>
  <c r="C8" i="2"/>
  <c r="Q8" i="2" s="1"/>
  <c r="C28" i="15" l="1"/>
  <c r="D28" i="15"/>
  <c r="C14" i="15"/>
  <c r="D14" i="15"/>
  <c r="C13" i="15"/>
  <c r="D13" i="15"/>
  <c r="C26" i="15"/>
  <c r="D26" i="15"/>
  <c r="C25" i="15"/>
  <c r="D25" i="15"/>
  <c r="C37" i="15"/>
  <c r="D37" i="15"/>
  <c r="C27" i="15"/>
  <c r="D27" i="15"/>
  <c r="C10" i="15"/>
  <c r="D10" i="15"/>
  <c r="C31" i="15"/>
  <c r="D31" i="15"/>
  <c r="C22" i="15"/>
  <c r="D22" i="15"/>
  <c r="C33" i="15"/>
  <c r="D33" i="15"/>
  <c r="C24" i="15"/>
  <c r="D24" i="15"/>
  <c r="C38" i="15"/>
  <c r="D38" i="15"/>
  <c r="C18" i="15"/>
  <c r="D18" i="15"/>
  <c r="C39" i="15"/>
  <c r="D39" i="15"/>
  <c r="C16" i="15"/>
  <c r="D16" i="15"/>
  <c r="C9" i="15"/>
  <c r="D9" i="15"/>
  <c r="H7" i="8"/>
  <c r="G7" i="8"/>
  <c r="E17" i="8"/>
  <c r="F17" i="8" s="1"/>
  <c r="E35" i="8"/>
  <c r="F35" i="8" s="1"/>
  <c r="E37" i="8"/>
  <c r="F37" i="8" s="1"/>
  <c r="E21" i="8"/>
  <c r="F21" i="8" s="1"/>
  <c r="E20" i="8"/>
  <c r="F20" i="8" s="1"/>
  <c r="E15" i="8"/>
  <c r="F15" i="8" s="1"/>
  <c r="E33" i="8"/>
  <c r="F33" i="8" s="1"/>
  <c r="E16" i="8"/>
  <c r="F16" i="8" s="1"/>
  <c r="E36" i="8"/>
  <c r="F36" i="8" s="1"/>
  <c r="E19" i="8"/>
  <c r="F19" i="8" s="1"/>
  <c r="E27" i="8"/>
  <c r="F27" i="8" s="1"/>
  <c r="E14" i="8"/>
  <c r="F14" i="8" s="1"/>
  <c r="E12" i="8"/>
  <c r="F12" i="8" s="1"/>
  <c r="E39" i="8"/>
  <c r="F39" i="8" s="1"/>
  <c r="E25" i="8"/>
  <c r="F25" i="8" s="1"/>
  <c r="C7" i="8"/>
  <c r="D24" i="17"/>
  <c r="F8" i="8"/>
  <c r="G8" i="8" s="1"/>
  <c r="C31" i="8"/>
  <c r="F31" i="8"/>
  <c r="C22" i="8"/>
  <c r="F22" i="8"/>
  <c r="C23" i="8"/>
  <c r="F23" i="8"/>
  <c r="D40" i="16"/>
  <c r="E40" i="16" s="1"/>
  <c r="C38" i="8"/>
  <c r="F38" i="8"/>
  <c r="C40" i="8"/>
  <c r="F40" i="8"/>
  <c r="C13" i="8"/>
  <c r="F13" i="8"/>
  <c r="C24" i="8"/>
  <c r="F24" i="8"/>
  <c r="C34" i="8"/>
  <c r="F34" i="8"/>
  <c r="C26" i="8"/>
  <c r="F26" i="8"/>
  <c r="C9" i="8"/>
  <c r="F9" i="8"/>
  <c r="C11" i="8"/>
  <c r="F11" i="8"/>
  <c r="C30" i="8"/>
  <c r="F30" i="8"/>
  <c r="C28" i="8"/>
  <c r="F28" i="8"/>
  <c r="C32" i="8"/>
  <c r="F32" i="8"/>
  <c r="C18" i="8"/>
  <c r="F18" i="8"/>
  <c r="C29" i="8"/>
  <c r="F29" i="8"/>
  <c r="C10" i="8"/>
  <c r="F10" i="8"/>
  <c r="D18" i="20"/>
  <c r="E18" i="20" s="1"/>
  <c r="D16" i="16"/>
  <c r="E16" i="16" s="1"/>
  <c r="D35" i="20"/>
  <c r="E35" i="20" s="1"/>
  <c r="D29" i="17"/>
  <c r="E29" i="17" s="1"/>
  <c r="D19" i="17"/>
  <c r="E19" i="17" s="1"/>
  <c r="D24" i="20"/>
  <c r="E24" i="20" s="1"/>
  <c r="D39" i="14"/>
  <c r="E39" i="14" s="1"/>
  <c r="C15" i="9"/>
  <c r="N15" i="9"/>
  <c r="O15" i="9" s="1"/>
  <c r="I15" i="9"/>
  <c r="J15" i="9" s="1"/>
  <c r="D15" i="9"/>
  <c r="S15" i="9"/>
  <c r="T15" i="9" s="1"/>
  <c r="C19" i="9"/>
  <c r="D19" i="9"/>
  <c r="S19" i="9"/>
  <c r="T19" i="9" s="1"/>
  <c r="N19" i="9"/>
  <c r="O19" i="9" s="1"/>
  <c r="I19" i="9"/>
  <c r="J19" i="9" s="1"/>
  <c r="C29" i="9"/>
  <c r="I29" i="9"/>
  <c r="J29" i="9" s="1"/>
  <c r="D29" i="9"/>
  <c r="S29" i="9"/>
  <c r="T29" i="9" s="1"/>
  <c r="N29" i="9"/>
  <c r="O29" i="9" s="1"/>
  <c r="C39" i="9"/>
  <c r="N39" i="9"/>
  <c r="O39" i="9" s="1"/>
  <c r="I39" i="9"/>
  <c r="J39" i="9" s="1"/>
  <c r="D39" i="9"/>
  <c r="S39" i="9"/>
  <c r="T39" i="9" s="1"/>
  <c r="D32" i="14"/>
  <c r="E32" i="14" s="1"/>
  <c r="C40" i="9"/>
  <c r="S40" i="9"/>
  <c r="T40" i="9" s="1"/>
  <c r="N40" i="9"/>
  <c r="O40" i="9" s="1"/>
  <c r="I40" i="9"/>
  <c r="J40" i="9" s="1"/>
  <c r="D40" i="9"/>
  <c r="C9" i="9"/>
  <c r="S9" i="9"/>
  <c r="T9" i="9" s="1"/>
  <c r="I9" i="9"/>
  <c r="J9" i="9" s="1"/>
  <c r="N9" i="9"/>
  <c r="O9" i="9" s="1"/>
  <c r="D9" i="9"/>
  <c r="M9" i="2"/>
  <c r="N9" i="2"/>
  <c r="O9" i="2"/>
  <c r="D37" i="14"/>
  <c r="E37" i="14" s="1"/>
  <c r="C37" i="9"/>
  <c r="I37" i="9"/>
  <c r="J37" i="9" s="1"/>
  <c r="S37" i="9"/>
  <c r="T37" i="9" s="1"/>
  <c r="D37" i="9"/>
  <c r="N37" i="9"/>
  <c r="O37" i="9" s="1"/>
  <c r="C20" i="9"/>
  <c r="I20" i="9"/>
  <c r="J20" i="9" s="1"/>
  <c r="S20" i="9"/>
  <c r="T20" i="9" s="1"/>
  <c r="D20" i="9"/>
  <c r="N20" i="9"/>
  <c r="O20" i="9" s="1"/>
  <c r="C22" i="9"/>
  <c r="N22" i="9"/>
  <c r="O22" i="9" s="1"/>
  <c r="I22" i="9"/>
  <c r="J22" i="9" s="1"/>
  <c r="D22" i="9"/>
  <c r="S22" i="9"/>
  <c r="T22" i="9" s="1"/>
  <c r="C11" i="9"/>
  <c r="D11" i="9"/>
  <c r="S11" i="9"/>
  <c r="T11" i="9" s="1"/>
  <c r="N11" i="9"/>
  <c r="O11" i="9" s="1"/>
  <c r="I11" i="9"/>
  <c r="J11" i="9" s="1"/>
  <c r="C36" i="9"/>
  <c r="I36" i="9"/>
  <c r="J36" i="9" s="1"/>
  <c r="S36" i="9"/>
  <c r="T36" i="9" s="1"/>
  <c r="D36" i="9"/>
  <c r="N36" i="9"/>
  <c r="O36" i="9" s="1"/>
  <c r="C34" i="9"/>
  <c r="D34" i="9"/>
  <c r="N34" i="9"/>
  <c r="O34" i="9" s="1"/>
  <c r="S34" i="9"/>
  <c r="T34" i="9" s="1"/>
  <c r="I34" i="9"/>
  <c r="J34" i="9" s="1"/>
  <c r="D7" i="17"/>
  <c r="E7" i="17" s="1"/>
  <c r="C12" i="9"/>
  <c r="I12" i="9"/>
  <c r="J12" i="9" s="1"/>
  <c r="D12" i="9"/>
  <c r="S12" i="9"/>
  <c r="T12" i="9" s="1"/>
  <c r="N12" i="9"/>
  <c r="O12" i="9" s="1"/>
  <c r="C10" i="9"/>
  <c r="D10" i="9"/>
  <c r="S10" i="9"/>
  <c r="T10" i="9" s="1"/>
  <c r="N10" i="9"/>
  <c r="O10" i="9" s="1"/>
  <c r="I10" i="9"/>
  <c r="J10" i="9" s="1"/>
  <c r="C26" i="9"/>
  <c r="D26" i="9"/>
  <c r="S26" i="9"/>
  <c r="T26" i="9" s="1"/>
  <c r="N26" i="9"/>
  <c r="O26" i="9" s="1"/>
  <c r="I26" i="9"/>
  <c r="J26" i="9" s="1"/>
  <c r="C31" i="9"/>
  <c r="N31" i="9"/>
  <c r="O31" i="9" s="1"/>
  <c r="I31" i="9"/>
  <c r="J31" i="9" s="1"/>
  <c r="S31" i="9"/>
  <c r="T31" i="9" s="1"/>
  <c r="D31" i="9"/>
  <c r="D14" i="20"/>
  <c r="E14" i="20" s="1"/>
  <c r="C13" i="9"/>
  <c r="I13" i="9"/>
  <c r="J13" i="9" s="1"/>
  <c r="D13" i="9"/>
  <c r="S13" i="9"/>
  <c r="T13" i="9" s="1"/>
  <c r="N13" i="9"/>
  <c r="O13" i="9" s="1"/>
  <c r="C30" i="9"/>
  <c r="N30" i="9"/>
  <c r="O30" i="9" s="1"/>
  <c r="D30" i="9"/>
  <c r="I30" i="9"/>
  <c r="J30" i="9" s="1"/>
  <c r="S30" i="9"/>
  <c r="T30" i="9" s="1"/>
  <c r="C27" i="9"/>
  <c r="D27" i="9"/>
  <c r="N27" i="9"/>
  <c r="O27" i="9" s="1"/>
  <c r="S27" i="9"/>
  <c r="T27" i="9" s="1"/>
  <c r="I27" i="9"/>
  <c r="J27" i="9" s="1"/>
  <c r="C24" i="9"/>
  <c r="S24" i="9"/>
  <c r="T24" i="9" s="1"/>
  <c r="N24" i="9"/>
  <c r="O24" i="9" s="1"/>
  <c r="I24" i="9"/>
  <c r="J24" i="9" s="1"/>
  <c r="D24" i="9"/>
  <c r="C8" i="9"/>
  <c r="S8" i="9"/>
  <c r="T8" i="9" s="1"/>
  <c r="N8" i="9"/>
  <c r="O8" i="9" s="1"/>
  <c r="I8" i="9"/>
  <c r="J8" i="9" s="1"/>
  <c r="D8" i="9"/>
  <c r="C32" i="9"/>
  <c r="S32" i="9"/>
  <c r="T32" i="9" s="1"/>
  <c r="I32" i="9"/>
  <c r="J32" i="9" s="1"/>
  <c r="N32" i="9"/>
  <c r="O32" i="9" s="1"/>
  <c r="D32" i="9"/>
  <c r="C23" i="9"/>
  <c r="N23" i="9"/>
  <c r="O23" i="9" s="1"/>
  <c r="I23" i="9"/>
  <c r="J23" i="9" s="1"/>
  <c r="S23" i="9"/>
  <c r="T23" i="9" s="1"/>
  <c r="D23" i="9"/>
  <c r="C18" i="9"/>
  <c r="D18" i="9"/>
  <c r="N18" i="9"/>
  <c r="O18" i="9" s="1"/>
  <c r="S18" i="9"/>
  <c r="T18" i="9" s="1"/>
  <c r="I18" i="9"/>
  <c r="J18" i="9" s="1"/>
  <c r="C25" i="9"/>
  <c r="S25" i="9"/>
  <c r="T25" i="9" s="1"/>
  <c r="I25" i="9"/>
  <c r="J25" i="9" s="1"/>
  <c r="N25" i="9"/>
  <c r="O25" i="9" s="1"/>
  <c r="D25" i="9"/>
  <c r="C7" i="9"/>
  <c r="S7" i="9"/>
  <c r="T7" i="9" s="1"/>
  <c r="I7" i="9"/>
  <c r="J7" i="9" s="1"/>
  <c r="N7" i="9"/>
  <c r="O7" i="9" s="1"/>
  <c r="D7" i="9"/>
  <c r="D21" i="17"/>
  <c r="E21" i="17" s="1"/>
  <c r="C17" i="9"/>
  <c r="S17" i="9"/>
  <c r="T17" i="9" s="1"/>
  <c r="N17" i="9"/>
  <c r="O17" i="9" s="1"/>
  <c r="I17" i="9"/>
  <c r="J17" i="9" s="1"/>
  <c r="D17" i="9"/>
  <c r="C33" i="9"/>
  <c r="S33" i="9"/>
  <c r="T33" i="9" s="1"/>
  <c r="N33" i="9"/>
  <c r="O33" i="9" s="1"/>
  <c r="I33" i="9"/>
  <c r="J33" i="9" s="1"/>
  <c r="D33" i="9"/>
  <c r="C28" i="9"/>
  <c r="I28" i="9"/>
  <c r="J28" i="9" s="1"/>
  <c r="D28" i="9"/>
  <c r="S28" i="9"/>
  <c r="T28" i="9" s="1"/>
  <c r="N28" i="9"/>
  <c r="O28" i="9" s="1"/>
  <c r="C14" i="9"/>
  <c r="N14" i="9"/>
  <c r="O14" i="9" s="1"/>
  <c r="D14" i="9"/>
  <c r="I14" i="9"/>
  <c r="J14" i="9" s="1"/>
  <c r="S14" i="9"/>
  <c r="T14" i="9" s="1"/>
  <c r="D15" i="20"/>
  <c r="E15" i="20" s="1"/>
  <c r="C35" i="9"/>
  <c r="D35" i="9"/>
  <c r="S35" i="9"/>
  <c r="T35" i="9" s="1"/>
  <c r="N35" i="9"/>
  <c r="O35" i="9" s="1"/>
  <c r="I35" i="9"/>
  <c r="J35" i="9" s="1"/>
  <c r="C21" i="9"/>
  <c r="I21" i="9"/>
  <c r="J21" i="9" s="1"/>
  <c r="S21" i="9"/>
  <c r="T21" i="9" s="1"/>
  <c r="D21" i="9"/>
  <c r="N21" i="9"/>
  <c r="O21" i="9" s="1"/>
  <c r="C38" i="9"/>
  <c r="N38" i="9"/>
  <c r="O38" i="9" s="1"/>
  <c r="I38" i="9"/>
  <c r="J38" i="9" s="1"/>
  <c r="D38" i="9"/>
  <c r="S38" i="9"/>
  <c r="T38" i="9" s="1"/>
  <c r="C16" i="9"/>
  <c r="S16" i="9"/>
  <c r="T16" i="9" s="1"/>
  <c r="I16" i="9"/>
  <c r="J16" i="9" s="1"/>
  <c r="N16" i="9"/>
  <c r="O16" i="9" s="1"/>
  <c r="D16" i="9"/>
  <c r="D24" i="14"/>
  <c r="C24" i="14"/>
  <c r="D25" i="14"/>
  <c r="C25" i="14"/>
  <c r="D17" i="14"/>
  <c r="C17" i="14"/>
  <c r="C37" i="8"/>
  <c r="C20" i="8"/>
  <c r="D28" i="14"/>
  <c r="E28" i="14" s="1"/>
  <c r="D40" i="14"/>
  <c r="C40" i="14"/>
  <c r="D15" i="14"/>
  <c r="C15" i="14"/>
  <c r="D8" i="14"/>
  <c r="C8" i="14"/>
  <c r="C8" i="8"/>
  <c r="D12" i="14"/>
  <c r="C12" i="14"/>
  <c r="C25" i="8"/>
  <c r="D7" i="14"/>
  <c r="C7" i="14"/>
  <c r="D34" i="14"/>
  <c r="C34" i="14"/>
  <c r="D29" i="14"/>
  <c r="C29" i="14"/>
  <c r="C17" i="8"/>
  <c r="C33" i="8"/>
  <c r="C27" i="8"/>
  <c r="C14" i="8"/>
  <c r="D10" i="14"/>
  <c r="C10" i="14"/>
  <c r="D14" i="14"/>
  <c r="C14" i="14"/>
  <c r="D19" i="14"/>
  <c r="C19" i="14"/>
  <c r="D11" i="14"/>
  <c r="C11" i="14"/>
  <c r="C35" i="8"/>
  <c r="C21" i="8"/>
  <c r="C15" i="8"/>
  <c r="D20" i="14"/>
  <c r="C20" i="14"/>
  <c r="D31" i="14"/>
  <c r="C31" i="14"/>
  <c r="D16" i="14"/>
  <c r="C16" i="14"/>
  <c r="D37" i="20"/>
  <c r="E37" i="20" s="1"/>
  <c r="C16" i="8"/>
  <c r="C36" i="8"/>
  <c r="C19" i="8"/>
  <c r="D26" i="14"/>
  <c r="C26" i="14"/>
  <c r="D22" i="14"/>
  <c r="C22" i="14"/>
  <c r="D23" i="14"/>
  <c r="C23" i="14"/>
  <c r="C12" i="8"/>
  <c r="C39" i="8"/>
  <c r="D7" i="18"/>
  <c r="C7" i="18"/>
  <c r="D9" i="18"/>
  <c r="E9" i="18" s="1"/>
  <c r="D36" i="18"/>
  <c r="E36" i="18" s="1"/>
  <c r="D31" i="18"/>
  <c r="C31" i="18"/>
  <c r="D16" i="18"/>
  <c r="C16" i="18"/>
  <c r="D39" i="18"/>
  <c r="C39" i="18"/>
  <c r="D30" i="18"/>
  <c r="E30" i="18" s="1"/>
  <c r="D14" i="18"/>
  <c r="C14" i="18"/>
  <c r="D40" i="18"/>
  <c r="C40" i="18"/>
  <c r="D28" i="18"/>
  <c r="E28" i="18" s="1"/>
  <c r="D32" i="18"/>
  <c r="C32" i="18"/>
  <c r="D18" i="18"/>
  <c r="C18" i="18"/>
  <c r="D15" i="18"/>
  <c r="E15" i="18" s="1"/>
  <c r="D23" i="18"/>
  <c r="C23" i="18"/>
  <c r="D24" i="18"/>
  <c r="C24" i="18"/>
  <c r="D21" i="20"/>
  <c r="C21" i="20"/>
  <c r="D36" i="20"/>
  <c r="C36" i="20"/>
  <c r="D11" i="20"/>
  <c r="C11" i="20"/>
  <c r="D38" i="20"/>
  <c r="E38" i="20" s="1"/>
  <c r="D40" i="20"/>
  <c r="C40" i="20"/>
  <c r="D22" i="20"/>
  <c r="E22" i="20" s="1"/>
  <c r="D30" i="20"/>
  <c r="C30" i="20"/>
  <c r="D12" i="20"/>
  <c r="C12" i="20"/>
  <c r="D8" i="20"/>
  <c r="C8" i="20"/>
  <c r="D32" i="20"/>
  <c r="E32" i="20" s="1"/>
  <c r="D9" i="20"/>
  <c r="C9" i="20"/>
  <c r="D31" i="20"/>
  <c r="E31" i="20" s="1"/>
  <c r="D26" i="20"/>
  <c r="C26" i="20"/>
  <c r="D28" i="20"/>
  <c r="C28" i="20"/>
  <c r="D13" i="20"/>
  <c r="C13" i="20"/>
  <c r="D9" i="19"/>
  <c r="C9" i="19"/>
  <c r="D27" i="19"/>
  <c r="C27" i="19"/>
  <c r="D30" i="19"/>
  <c r="C30" i="19"/>
  <c r="D31" i="19"/>
  <c r="C31" i="19"/>
  <c r="D38" i="19"/>
  <c r="C38" i="19"/>
  <c r="D19" i="19"/>
  <c r="C19" i="19"/>
  <c r="D7" i="19"/>
  <c r="C7" i="19"/>
  <c r="D15" i="19"/>
  <c r="C15" i="19"/>
  <c r="D29" i="19"/>
  <c r="C29" i="19"/>
  <c r="D10" i="19"/>
  <c r="C10" i="19"/>
  <c r="D26" i="19"/>
  <c r="C26" i="19"/>
  <c r="D23" i="19"/>
  <c r="C23" i="19"/>
  <c r="D36" i="19"/>
  <c r="C36" i="19"/>
  <c r="D24" i="19"/>
  <c r="C24" i="19"/>
  <c r="D12" i="19"/>
  <c r="C12" i="19"/>
  <c r="D13" i="19"/>
  <c r="C13" i="19"/>
  <c r="D28" i="19"/>
  <c r="C28" i="19"/>
  <c r="D39" i="19"/>
  <c r="C39" i="19"/>
  <c r="D35" i="19"/>
  <c r="C35" i="19"/>
  <c r="D16" i="19"/>
  <c r="C16" i="19"/>
  <c r="D8" i="19"/>
  <c r="C8" i="19"/>
  <c r="D25" i="19"/>
  <c r="C25" i="19"/>
  <c r="D20" i="19"/>
  <c r="C20" i="19"/>
  <c r="D37" i="19"/>
  <c r="C37" i="19"/>
  <c r="D21" i="19"/>
  <c r="C21" i="19"/>
  <c r="D40" i="19"/>
  <c r="C40" i="19"/>
  <c r="D34" i="19"/>
  <c r="C34" i="19"/>
  <c r="D18" i="19"/>
  <c r="C18" i="19"/>
  <c r="D17" i="19"/>
  <c r="C17" i="19"/>
  <c r="D32" i="19"/>
  <c r="C32" i="19"/>
  <c r="D14" i="19"/>
  <c r="C14" i="19"/>
  <c r="D33" i="19"/>
  <c r="C33" i="19"/>
  <c r="D11" i="19"/>
  <c r="C11" i="19"/>
  <c r="D22" i="19"/>
  <c r="C22" i="19"/>
  <c r="D17" i="17"/>
  <c r="C17" i="17"/>
  <c r="D23" i="17"/>
  <c r="E23" i="17" s="1"/>
  <c r="D22" i="17"/>
  <c r="E22" i="17" s="1"/>
  <c r="D28" i="17"/>
  <c r="E28" i="17" s="1"/>
  <c r="D35" i="17"/>
  <c r="E35" i="17" s="1"/>
  <c r="D14" i="17"/>
  <c r="E14" i="17" s="1"/>
  <c r="D12" i="17"/>
  <c r="E12" i="17" s="1"/>
  <c r="D10" i="16"/>
  <c r="E10" i="16" s="1"/>
  <c r="D14" i="16"/>
  <c r="C14" i="16"/>
  <c r="D12" i="16"/>
  <c r="E12" i="16" s="1"/>
  <c r="D17" i="16"/>
  <c r="C17" i="16"/>
  <c r="D8" i="16"/>
  <c r="E8" i="16" s="1"/>
  <c r="D39" i="16"/>
  <c r="C39" i="16"/>
  <c r="D34" i="16"/>
  <c r="C34" i="16"/>
  <c r="D30" i="16"/>
  <c r="E30" i="16" s="1"/>
  <c r="D33" i="16"/>
  <c r="C33" i="16"/>
  <c r="D28" i="16"/>
  <c r="E28" i="16" s="1"/>
  <c r="D25" i="16"/>
  <c r="C25" i="16"/>
  <c r="D32" i="16"/>
  <c r="C32" i="16"/>
  <c r="D22" i="16"/>
  <c r="C22" i="16"/>
  <c r="C15" i="15"/>
  <c r="C35" i="15"/>
  <c r="C23" i="15"/>
  <c r="C7" i="15"/>
  <c r="C20" i="15"/>
  <c r="C19" i="15"/>
  <c r="C29" i="15"/>
  <c r="C36" i="15"/>
  <c r="C21" i="15"/>
  <c r="C17" i="15"/>
  <c r="C11" i="15"/>
  <c r="C12" i="15"/>
  <c r="C8" i="15"/>
  <c r="E18" i="15"/>
  <c r="C34" i="15"/>
  <c r="C30" i="15"/>
  <c r="C32" i="15"/>
  <c r="C40" i="15"/>
  <c r="D31" i="17"/>
  <c r="E9" i="2"/>
  <c r="P9" i="2"/>
  <c r="G9" i="2"/>
  <c r="H9" i="2"/>
  <c r="I9" i="2"/>
  <c r="F9" i="2"/>
  <c r="C9" i="2"/>
  <c r="J9" i="2"/>
  <c r="K9" i="2"/>
  <c r="D9" i="2"/>
  <c r="L9" i="2"/>
  <c r="D11" i="16"/>
  <c r="E11" i="16" s="1"/>
  <c r="D17" i="20"/>
  <c r="E17" i="20" s="1"/>
  <c r="D19" i="18"/>
  <c r="E19" i="18" s="1"/>
  <c r="D35" i="16"/>
  <c r="E35" i="16" s="1"/>
  <c r="D29" i="18"/>
  <c r="E29" i="18" s="1"/>
  <c r="D15" i="16"/>
  <c r="E15" i="16" s="1"/>
  <c r="D26" i="17"/>
  <c r="E26" i="17" s="1"/>
  <c r="D40" i="17"/>
  <c r="E40" i="17" s="1"/>
  <c r="D9" i="14"/>
  <c r="E9" i="14" s="1"/>
  <c r="D36" i="17"/>
  <c r="E36" i="17" s="1"/>
  <c r="D38" i="14"/>
  <c r="E38" i="14" s="1"/>
  <c r="D27" i="14"/>
  <c r="E27" i="14" s="1"/>
  <c r="D19" i="20"/>
  <c r="E19" i="20" s="1"/>
  <c r="D17" i="18"/>
  <c r="E17" i="18" s="1"/>
  <c r="D21" i="16"/>
  <c r="E21" i="16" s="1"/>
  <c r="E28" i="15"/>
  <c r="D39" i="20"/>
  <c r="E39" i="20" s="1"/>
  <c r="D23" i="16"/>
  <c r="E23" i="16" s="1"/>
  <c r="D16" i="17"/>
  <c r="E16" i="17" s="1"/>
  <c r="D36" i="14"/>
  <c r="E36" i="14" s="1"/>
  <c r="D26" i="16"/>
  <c r="E26" i="16" s="1"/>
  <c r="D33" i="14"/>
  <c r="E33" i="14" s="1"/>
  <c r="D9" i="16"/>
  <c r="E9" i="16" s="1"/>
  <c r="D16" i="20"/>
  <c r="E16" i="20" s="1"/>
  <c r="D38" i="18"/>
  <c r="E38" i="18" s="1"/>
  <c r="D26" i="18"/>
  <c r="E26" i="18" s="1"/>
  <c r="D12" i="18"/>
  <c r="E12" i="18" s="1"/>
  <c r="D32" i="17"/>
  <c r="E32" i="17" s="1"/>
  <c r="D39" i="17"/>
  <c r="E39" i="17" s="1"/>
  <c r="D18" i="17"/>
  <c r="E18" i="17" s="1"/>
  <c r="D13" i="16"/>
  <c r="E13" i="16" s="1"/>
  <c r="D7" i="16"/>
  <c r="E7" i="16" s="1"/>
  <c r="D27" i="20"/>
  <c r="E27" i="20" s="1"/>
  <c r="D21" i="18"/>
  <c r="E21" i="18" s="1"/>
  <c r="D24" i="16"/>
  <c r="E24" i="16" s="1"/>
  <c r="E22" i="15"/>
  <c r="D13" i="18"/>
  <c r="E13" i="18" s="1"/>
  <c r="D13" i="14"/>
  <c r="E13" i="14" s="1"/>
  <c r="D29" i="20"/>
  <c r="E29" i="20" s="1"/>
  <c r="D20" i="20"/>
  <c r="E20" i="20" s="1"/>
  <c r="D35" i="18"/>
  <c r="E35" i="18" s="1"/>
  <c r="D19" i="16"/>
  <c r="E19" i="16" s="1"/>
  <c r="D21" i="14"/>
  <c r="E21" i="14" s="1"/>
  <c r="D25" i="20"/>
  <c r="E25" i="20" s="1"/>
  <c r="D33" i="18"/>
  <c r="E33" i="18" s="1"/>
  <c r="D22" i="18"/>
  <c r="E22" i="18" s="1"/>
  <c r="C3" i="17"/>
  <c r="C3" i="21"/>
  <c r="J7" i="21" s="1"/>
  <c r="D11" i="17"/>
  <c r="E11" i="17" s="1"/>
  <c r="D38" i="16"/>
  <c r="E38" i="16" s="1"/>
  <c r="D25" i="17"/>
  <c r="E25" i="17" s="1"/>
  <c r="D37" i="17"/>
  <c r="E37" i="17" s="1"/>
  <c r="E25" i="15"/>
  <c r="D27" i="18"/>
  <c r="E27" i="18" s="1"/>
  <c r="D20" i="18"/>
  <c r="E20" i="18" s="1"/>
  <c r="D10" i="17"/>
  <c r="E10" i="17" s="1"/>
  <c r="D27" i="16"/>
  <c r="E27" i="16" s="1"/>
  <c r="D30" i="17"/>
  <c r="E30" i="17" s="1"/>
  <c r="D15" i="17"/>
  <c r="E15" i="17" s="1"/>
  <c r="E31" i="15"/>
  <c r="E9" i="15"/>
  <c r="D7" i="20"/>
  <c r="E7" i="20" s="1"/>
  <c r="D34" i="20"/>
  <c r="E34" i="20" s="1"/>
  <c r="D23" i="20"/>
  <c r="E23" i="20" s="1"/>
  <c r="D34" i="18"/>
  <c r="E34" i="18" s="1"/>
  <c r="D25" i="18"/>
  <c r="E25" i="18" s="1"/>
  <c r="D34" i="17"/>
  <c r="E34" i="17" s="1"/>
  <c r="D33" i="17"/>
  <c r="E33" i="17" s="1"/>
  <c r="D27" i="17"/>
  <c r="E27" i="17" s="1"/>
  <c r="D37" i="16"/>
  <c r="E37" i="16" s="1"/>
  <c r="E38" i="15"/>
  <c r="D10" i="20"/>
  <c r="E10" i="20" s="1"/>
  <c r="D37" i="18"/>
  <c r="E37" i="18" s="1"/>
  <c r="D29" i="16"/>
  <c r="E29" i="16" s="1"/>
  <c r="D20" i="16"/>
  <c r="E20" i="16" s="1"/>
  <c r="D18" i="16"/>
  <c r="E18" i="16" s="1"/>
  <c r="D8" i="18"/>
  <c r="E8" i="18" s="1"/>
  <c r="D35" i="14"/>
  <c r="E35" i="14" s="1"/>
  <c r="D18" i="14"/>
  <c r="E18" i="14" s="1"/>
  <c r="D36" i="16"/>
  <c r="E36" i="16" s="1"/>
  <c r="D31" i="16"/>
  <c r="E31" i="16" s="1"/>
  <c r="D8" i="17"/>
  <c r="E8" i="17" s="1"/>
  <c r="D20" i="17"/>
  <c r="E20" i="17" s="1"/>
  <c r="D9" i="17"/>
  <c r="E9" i="17" s="1"/>
  <c r="D38" i="17"/>
  <c r="E38" i="17" s="1"/>
  <c r="D13" i="17"/>
  <c r="E13" i="17" s="1"/>
  <c r="C3" i="18"/>
  <c r="E24" i="17"/>
  <c r="C3" i="8"/>
  <c r="C3" i="4"/>
  <c r="C2" i="9"/>
  <c r="C3" i="9" s="1"/>
  <c r="C3" i="14"/>
  <c r="C43" i="1"/>
  <c r="D30" i="14"/>
  <c r="E30" i="14" s="1"/>
  <c r="D33" i="20"/>
  <c r="E33" i="20" s="1"/>
  <c r="C41" i="4"/>
  <c r="D39" i="4" s="1"/>
  <c r="E10" i="18"/>
  <c r="C3" i="16"/>
  <c r="C3" i="15"/>
  <c r="C3" i="20"/>
  <c r="C3" i="19"/>
  <c r="E11" i="18"/>
  <c r="E37" i="15" l="1"/>
  <c r="E39" i="15"/>
  <c r="E33" i="15"/>
  <c r="E16" i="15"/>
  <c r="E24" i="15"/>
  <c r="E26" i="15"/>
  <c r="E14" i="15"/>
  <c r="E27" i="15"/>
  <c r="E13" i="15"/>
  <c r="E7" i="21"/>
  <c r="H8" i="8"/>
  <c r="H9" i="8"/>
  <c r="H19" i="8"/>
  <c r="H35" i="8"/>
  <c r="H12" i="8"/>
  <c r="H36" i="8"/>
  <c r="H14" i="8"/>
  <c r="H39" i="8"/>
  <c r="H16" i="8"/>
  <c r="H15" i="8"/>
  <c r="H27" i="8"/>
  <c r="H20" i="8"/>
  <c r="H17" i="8"/>
  <c r="H21" i="8"/>
  <c r="H33" i="8"/>
  <c r="H25" i="8"/>
  <c r="H37" i="8"/>
  <c r="E24" i="9"/>
  <c r="E27" i="9"/>
  <c r="E36" i="9"/>
  <c r="E39" i="9"/>
  <c r="E35" i="9"/>
  <c r="E23" i="9"/>
  <c r="E13" i="9"/>
  <c r="E40" i="9"/>
  <c r="E21" i="9"/>
  <c r="E7" i="9"/>
  <c r="E10" i="9"/>
  <c r="E22" i="9"/>
  <c r="E8" i="9"/>
  <c r="E28" i="9"/>
  <c r="E17" i="9"/>
  <c r="E30" i="9"/>
  <c r="E37" i="9"/>
  <c r="E9" i="9"/>
  <c r="E19" i="9"/>
  <c r="E38" i="9"/>
  <c r="E31" i="9"/>
  <c r="E26" i="9"/>
  <c r="E34" i="9"/>
  <c r="E32" i="9"/>
  <c r="E12" i="9"/>
  <c r="E29" i="9"/>
  <c r="E16" i="9"/>
  <c r="E14" i="9"/>
  <c r="E33" i="9"/>
  <c r="E25" i="9"/>
  <c r="E18" i="9"/>
  <c r="E11" i="9"/>
  <c r="E20" i="9"/>
  <c r="E15" i="9"/>
  <c r="D41" i="19"/>
  <c r="H38" i="8"/>
  <c r="H40" i="8"/>
  <c r="H18" i="8"/>
  <c r="H11" i="8"/>
  <c r="H29" i="8"/>
  <c r="H30" i="8"/>
  <c r="H34" i="8"/>
  <c r="H31" i="8"/>
  <c r="H23" i="8"/>
  <c r="H10" i="8"/>
  <c r="H28" i="8"/>
  <c r="H26" i="8"/>
  <c r="H13" i="8"/>
  <c r="H22" i="8"/>
  <c r="H24" i="8"/>
  <c r="H32" i="8"/>
  <c r="E41" i="8"/>
  <c r="F41" i="8" s="1"/>
  <c r="E8" i="14"/>
  <c r="F20" i="9"/>
  <c r="F15" i="9"/>
  <c r="F16" i="9"/>
  <c r="F33" i="9"/>
  <c r="F25" i="9"/>
  <c r="E16" i="18"/>
  <c r="E20" i="14"/>
  <c r="F38" i="9"/>
  <c r="F12" i="9"/>
  <c r="E10" i="14"/>
  <c r="F17" i="9"/>
  <c r="F18" i="9"/>
  <c r="F11" i="9"/>
  <c r="F9" i="9"/>
  <c r="F29" i="9"/>
  <c r="F14" i="9"/>
  <c r="F31" i="9"/>
  <c r="E40" i="15"/>
  <c r="E17" i="15"/>
  <c r="E19" i="15"/>
  <c r="E35" i="15"/>
  <c r="E25" i="16"/>
  <c r="E39" i="16"/>
  <c r="E40" i="14"/>
  <c r="F13" i="9"/>
  <c r="F10" i="9"/>
  <c r="F21" i="9"/>
  <c r="E23" i="14"/>
  <c r="E34" i="15"/>
  <c r="E29" i="15"/>
  <c r="E23" i="15"/>
  <c r="E34" i="16"/>
  <c r="E40" i="20"/>
  <c r="E32" i="18"/>
  <c r="E39" i="18"/>
  <c r="E7" i="18"/>
  <c r="E26" i="14"/>
  <c r="F32" i="9"/>
  <c r="F22" i="9"/>
  <c r="K23" i="9"/>
  <c r="U24" i="9"/>
  <c r="K22" i="9"/>
  <c r="P40" i="9"/>
  <c r="U19" i="9"/>
  <c r="K21" i="9"/>
  <c r="K18" i="9"/>
  <c r="K8" i="9"/>
  <c r="U26" i="9"/>
  <c r="K11" i="9"/>
  <c r="U40" i="9"/>
  <c r="P29" i="9"/>
  <c r="E24" i="14"/>
  <c r="U14" i="9"/>
  <c r="K17" i="9"/>
  <c r="U18" i="9"/>
  <c r="P8" i="9"/>
  <c r="U37" i="9"/>
  <c r="P9" i="9"/>
  <c r="F40" i="9"/>
  <c r="F19" i="9"/>
  <c r="K38" i="9"/>
  <c r="K35" i="9"/>
  <c r="K14" i="9"/>
  <c r="F28" i="9"/>
  <c r="P17" i="9"/>
  <c r="F7" i="9"/>
  <c r="P18" i="9"/>
  <c r="U8" i="9"/>
  <c r="U27" i="9"/>
  <c r="F30" i="9"/>
  <c r="U31" i="9"/>
  <c r="F26" i="9"/>
  <c r="F34" i="9"/>
  <c r="U11" i="9"/>
  <c r="P20" i="9"/>
  <c r="K37" i="9"/>
  <c r="K9" i="9"/>
  <c r="U15" i="9"/>
  <c r="U21" i="9"/>
  <c r="U28" i="9"/>
  <c r="N41" i="9"/>
  <c r="P7" i="9"/>
  <c r="K30" i="9"/>
  <c r="P26" i="9"/>
  <c r="U34" i="9"/>
  <c r="F36" i="9"/>
  <c r="P37" i="9"/>
  <c r="F39" i="9"/>
  <c r="U38" i="9"/>
  <c r="K7" i="9"/>
  <c r="I41" i="9"/>
  <c r="P23" i="9"/>
  <c r="F24" i="9"/>
  <c r="P12" i="9"/>
  <c r="P34" i="9"/>
  <c r="P22" i="9"/>
  <c r="E29" i="14"/>
  <c r="K28" i="9"/>
  <c r="U7" i="9"/>
  <c r="S41" i="9"/>
  <c r="F23" i="9"/>
  <c r="K27" i="9"/>
  <c r="P30" i="9"/>
  <c r="U12" i="9"/>
  <c r="P11" i="9"/>
  <c r="U29" i="9"/>
  <c r="E22" i="14"/>
  <c r="E16" i="14"/>
  <c r="P38" i="9"/>
  <c r="P35" i="9"/>
  <c r="U17" i="9"/>
  <c r="P32" i="9"/>
  <c r="F8" i="9"/>
  <c r="P27" i="9"/>
  <c r="P13" i="9"/>
  <c r="K31" i="9"/>
  <c r="K10" i="9"/>
  <c r="K12" i="9"/>
  <c r="P36" i="9"/>
  <c r="F37" i="9"/>
  <c r="U9" i="9"/>
  <c r="U39" i="9"/>
  <c r="K29" i="9"/>
  <c r="P16" i="9"/>
  <c r="U35" i="9"/>
  <c r="P14" i="9"/>
  <c r="K33" i="9"/>
  <c r="P25" i="9"/>
  <c r="K32" i="9"/>
  <c r="U13" i="9"/>
  <c r="P31" i="9"/>
  <c r="P10" i="9"/>
  <c r="U20" i="9"/>
  <c r="K15" i="9"/>
  <c r="E11" i="14"/>
  <c r="E7" i="14"/>
  <c r="K16" i="9"/>
  <c r="P21" i="9"/>
  <c r="P33" i="9"/>
  <c r="K25" i="9"/>
  <c r="U32" i="9"/>
  <c r="K24" i="9"/>
  <c r="F27" i="9"/>
  <c r="U10" i="9"/>
  <c r="U36" i="9"/>
  <c r="U22" i="9"/>
  <c r="K20" i="9"/>
  <c r="K39" i="9"/>
  <c r="K19" i="9"/>
  <c r="P15" i="9"/>
  <c r="E19" i="14"/>
  <c r="E25" i="14"/>
  <c r="U16" i="9"/>
  <c r="F35" i="9"/>
  <c r="P28" i="9"/>
  <c r="U33" i="9"/>
  <c r="D41" i="9"/>
  <c r="U25" i="9"/>
  <c r="U23" i="9"/>
  <c r="P24" i="9"/>
  <c r="U30" i="9"/>
  <c r="K13" i="9"/>
  <c r="K26" i="9"/>
  <c r="K34" i="9"/>
  <c r="K36" i="9"/>
  <c r="K40" i="9"/>
  <c r="P39" i="9"/>
  <c r="P19" i="9"/>
  <c r="E31" i="14"/>
  <c r="E15" i="14"/>
  <c r="E17" i="17"/>
  <c r="E34" i="19"/>
  <c r="E20" i="19"/>
  <c r="E12" i="19"/>
  <c r="E28" i="20"/>
  <c r="E24" i="18"/>
  <c r="E32" i="19"/>
  <c r="E25" i="19"/>
  <c r="E39" i="19"/>
  <c r="E10" i="19"/>
  <c r="E19" i="19"/>
  <c r="E27" i="19"/>
  <c r="E26" i="20"/>
  <c r="E12" i="20"/>
  <c r="E11" i="20"/>
  <c r="E23" i="18"/>
  <c r="E40" i="18"/>
  <c r="E14" i="14"/>
  <c r="E12" i="14"/>
  <c r="E34" i="14"/>
  <c r="E17" i="14"/>
  <c r="E11" i="19"/>
  <c r="E17" i="19"/>
  <c r="E21" i="19"/>
  <c r="E8" i="19"/>
  <c r="E28" i="19"/>
  <c r="E36" i="19"/>
  <c r="E29" i="19"/>
  <c r="E38" i="19"/>
  <c r="E9" i="19"/>
  <c r="E14" i="18"/>
  <c r="E16" i="19"/>
  <c r="E21" i="20"/>
  <c r="E32" i="15"/>
  <c r="E21" i="15"/>
  <c r="E20" i="15"/>
  <c r="E15" i="15"/>
  <c r="E31" i="18"/>
  <c r="E30" i="15"/>
  <c r="E36" i="15"/>
  <c r="E7" i="15"/>
  <c r="E22" i="16"/>
  <c r="E9" i="20"/>
  <c r="E18" i="19"/>
  <c r="E13" i="20"/>
  <c r="E22" i="19"/>
  <c r="E8" i="15"/>
  <c r="E40" i="19"/>
  <c r="E24" i="19"/>
  <c r="E33" i="16"/>
  <c r="E17" i="16"/>
  <c r="E30" i="20"/>
  <c r="E36" i="20"/>
  <c r="E11" i="15"/>
  <c r="E33" i="19"/>
  <c r="E37" i="19"/>
  <c r="E13" i="19"/>
  <c r="E23" i="19"/>
  <c r="E15" i="19"/>
  <c r="E31" i="19"/>
  <c r="E18" i="18"/>
  <c r="E32" i="16"/>
  <c r="E14" i="16"/>
  <c r="E14" i="19"/>
  <c r="E35" i="19"/>
  <c r="E7" i="19"/>
  <c r="E30" i="19"/>
  <c r="E8" i="20"/>
  <c r="E12" i="15"/>
  <c r="C4" i="21"/>
  <c r="J8" i="21"/>
  <c r="J9" i="21"/>
  <c r="P36" i="1"/>
  <c r="P9" i="1"/>
  <c r="E31" i="17"/>
  <c r="C41" i="17"/>
  <c r="C41" i="15"/>
  <c r="C41" i="18"/>
  <c r="C41" i="14"/>
  <c r="C41" i="16"/>
  <c r="C41" i="19"/>
  <c r="D41" i="15"/>
  <c r="C41" i="8"/>
  <c r="C41" i="9"/>
  <c r="C41" i="20"/>
  <c r="E10" i="15"/>
  <c r="P39" i="1"/>
  <c r="P13" i="1"/>
  <c r="P11" i="1"/>
  <c r="P29" i="1"/>
  <c r="P14" i="1"/>
  <c r="P18" i="1"/>
  <c r="P17" i="1"/>
  <c r="P26" i="1"/>
  <c r="P10" i="1"/>
  <c r="P15" i="1"/>
  <c r="P42" i="1"/>
  <c r="P41" i="1"/>
  <c r="P21" i="1"/>
  <c r="P35" i="1"/>
  <c r="P24" i="1"/>
  <c r="P38" i="1"/>
  <c r="P25" i="1"/>
  <c r="P19" i="1"/>
  <c r="P23" i="1"/>
  <c r="P37" i="1"/>
  <c r="P12" i="1"/>
  <c r="P32" i="1"/>
  <c r="P31" i="1"/>
  <c r="P34" i="1"/>
  <c r="P28" i="1"/>
  <c r="P30" i="1"/>
  <c r="P40" i="1"/>
  <c r="P20" i="1"/>
  <c r="P27" i="1"/>
  <c r="P16" i="1"/>
  <c r="P22" i="1"/>
  <c r="P33" i="1"/>
  <c r="E26" i="19"/>
  <c r="D41" i="14"/>
  <c r="D13" i="4"/>
  <c r="D27" i="4"/>
  <c r="D36" i="4"/>
  <c r="D24" i="4"/>
  <c r="D30" i="4"/>
  <c r="D26" i="4"/>
  <c r="D18" i="4"/>
  <c r="D11" i="4"/>
  <c r="D33" i="4"/>
  <c r="D29" i="4"/>
  <c r="D15" i="4"/>
  <c r="D25" i="4"/>
  <c r="D17" i="4"/>
  <c r="D19" i="4"/>
  <c r="D28" i="4"/>
  <c r="D12" i="4"/>
  <c r="D20" i="4"/>
  <c r="D32" i="4"/>
  <c r="D22" i="4"/>
  <c r="D14" i="4"/>
  <c r="D34" i="4"/>
  <c r="D7" i="4"/>
  <c r="D31" i="4"/>
  <c r="D10" i="4"/>
  <c r="D8" i="4"/>
  <c r="D16" i="4"/>
  <c r="D21" i="4"/>
  <c r="D9" i="4"/>
  <c r="D37" i="4"/>
  <c r="D38" i="4"/>
  <c r="D40" i="4"/>
  <c r="D23" i="4"/>
  <c r="D35" i="4"/>
  <c r="H41" i="8" l="1"/>
  <c r="U41" i="9"/>
  <c r="F41" i="9"/>
  <c r="E41" i="9"/>
  <c r="E41" i="17"/>
  <c r="F25" i="17" s="1"/>
  <c r="J41" i="9"/>
  <c r="P41" i="9"/>
  <c r="O41" i="9"/>
  <c r="E41" i="14"/>
  <c r="F7" i="14" s="1"/>
  <c r="T41" i="9"/>
  <c r="K41" i="9"/>
  <c r="E41" i="18"/>
  <c r="F11" i="18" s="1"/>
  <c r="E41" i="16"/>
  <c r="F8" i="16" s="1"/>
  <c r="E41" i="20"/>
  <c r="F7" i="20" s="1"/>
  <c r="E41" i="15"/>
  <c r="F12" i="15" s="1"/>
  <c r="E17" i="21"/>
  <c r="E25" i="21"/>
  <c r="D13" i="1" s="1"/>
  <c r="D15" i="1"/>
  <c r="E41" i="21"/>
  <c r="D9" i="1" s="1"/>
  <c r="E34" i="21"/>
  <c r="F34" i="21" s="1"/>
  <c r="E18" i="21"/>
  <c r="D12" i="1" s="1"/>
  <c r="E38" i="21"/>
  <c r="E19" i="21"/>
  <c r="D11" i="1" s="1"/>
  <c r="E31" i="21"/>
  <c r="D14" i="1" s="1"/>
  <c r="E28" i="21"/>
  <c r="E36" i="21"/>
  <c r="D29" i="1" s="1"/>
  <c r="E8" i="21"/>
  <c r="E33" i="21"/>
  <c r="D30" i="1" s="1"/>
  <c r="E42" i="21"/>
  <c r="D33" i="1" s="1"/>
  <c r="E23" i="21"/>
  <c r="D31" i="1" s="1"/>
  <c r="E16" i="21"/>
  <c r="D34" i="1" s="1"/>
  <c r="E9" i="21"/>
  <c r="E32" i="21"/>
  <c r="E40" i="21"/>
  <c r="E26" i="21"/>
  <c r="E30" i="21"/>
  <c r="E21" i="21"/>
  <c r="E15" i="21"/>
  <c r="E10" i="21"/>
  <c r="D24" i="1" s="1"/>
  <c r="E11" i="21"/>
  <c r="D26" i="1" s="1"/>
  <c r="E39" i="21"/>
  <c r="F39" i="21" s="1"/>
  <c r="E20" i="21"/>
  <c r="D19" i="1" s="1"/>
  <c r="E14" i="21"/>
  <c r="E24" i="21"/>
  <c r="D28" i="1" s="1"/>
  <c r="E29" i="21"/>
  <c r="D23" i="1" s="1"/>
  <c r="E37" i="21"/>
  <c r="D21" i="1" s="1"/>
  <c r="E12" i="21"/>
  <c r="D27" i="1" s="1"/>
  <c r="E13" i="21"/>
  <c r="D16" i="1" s="1"/>
  <c r="E22" i="21"/>
  <c r="D18" i="1" s="1"/>
  <c r="E27" i="21"/>
  <c r="E35" i="21"/>
  <c r="D20" i="1" s="1"/>
  <c r="E41" i="19"/>
  <c r="F26" i="19" s="1"/>
  <c r="P43" i="1"/>
  <c r="D41" i="4"/>
  <c r="C4" i="8"/>
  <c r="G9" i="8" s="1"/>
  <c r="E45" i="21" l="1"/>
  <c r="I39" i="8"/>
  <c r="I7" i="8"/>
  <c r="G35" i="8"/>
  <c r="G37" i="8"/>
  <c r="G21" i="8"/>
  <c r="G20" i="8"/>
  <c r="G15" i="8"/>
  <c r="G25" i="8"/>
  <c r="G16" i="8"/>
  <c r="G17" i="8"/>
  <c r="G36" i="8"/>
  <c r="G33" i="8"/>
  <c r="G19" i="8"/>
  <c r="G27" i="8"/>
  <c r="G12" i="8"/>
  <c r="G14" i="8"/>
  <c r="G39" i="8"/>
  <c r="G13" i="8"/>
  <c r="G38" i="8"/>
  <c r="G32" i="8"/>
  <c r="G29" i="8"/>
  <c r="G18" i="8"/>
  <c r="G10" i="8"/>
  <c r="G30" i="8"/>
  <c r="G11" i="8"/>
  <c r="G23" i="8"/>
  <c r="G28" i="8"/>
  <c r="G34" i="8"/>
  <c r="G24" i="8"/>
  <c r="G26" i="8"/>
  <c r="G40" i="8"/>
  <c r="G31" i="8"/>
  <c r="G22" i="8"/>
  <c r="F24" i="19"/>
  <c r="I29" i="8"/>
  <c r="I34" i="8"/>
  <c r="I16" i="8"/>
  <c r="I13" i="8"/>
  <c r="I14" i="8"/>
  <c r="I30" i="8"/>
  <c r="I20" i="8"/>
  <c r="I40" i="8"/>
  <c r="I25" i="8"/>
  <c r="I38" i="8"/>
  <c r="I27" i="8"/>
  <c r="I23" i="8"/>
  <c r="I37" i="8"/>
  <c r="I35" i="8"/>
  <c r="I26" i="8"/>
  <c r="I10" i="8"/>
  <c r="I12" i="8"/>
  <c r="I18" i="8"/>
  <c r="I24" i="8"/>
  <c r="I15" i="8"/>
  <c r="I33" i="8"/>
  <c r="F32" i="18"/>
  <c r="I32" i="8"/>
  <c r="I11" i="8"/>
  <c r="I19" i="8"/>
  <c r="I21" i="8"/>
  <c r="I28" i="8"/>
  <c r="I31" i="8"/>
  <c r="I8" i="8"/>
  <c r="I36" i="8"/>
  <c r="I22" i="8"/>
  <c r="I9" i="8"/>
  <c r="I17" i="8"/>
  <c r="F33" i="18"/>
  <c r="F28" i="18"/>
  <c r="F20" i="18"/>
  <c r="F13" i="17"/>
  <c r="F32" i="17"/>
  <c r="F20" i="17"/>
  <c r="F31" i="18"/>
  <c r="F21" i="17"/>
  <c r="F19" i="18"/>
  <c r="F34" i="17"/>
  <c r="F21" i="18"/>
  <c r="F39" i="17"/>
  <c r="F14" i="17"/>
  <c r="F11" i="17"/>
  <c r="F23" i="17"/>
  <c r="F12" i="18"/>
  <c r="F17" i="17"/>
  <c r="F22" i="17"/>
  <c r="F24" i="18"/>
  <c r="F31" i="17"/>
  <c r="F26" i="17"/>
  <c r="F7" i="18"/>
  <c r="F14" i="18"/>
  <c r="F37" i="17"/>
  <c r="F34" i="14"/>
  <c r="F10" i="14"/>
  <c r="F31" i="14"/>
  <c r="F15" i="14"/>
  <c r="F18" i="18"/>
  <c r="F38" i="18"/>
  <c r="F34" i="18"/>
  <c r="F18" i="17"/>
  <c r="F36" i="17"/>
  <c r="F38" i="14"/>
  <c r="F33" i="14"/>
  <c r="F21" i="14"/>
  <c r="F22" i="14"/>
  <c r="F12" i="14"/>
  <c r="F17" i="14"/>
  <c r="F40" i="18"/>
  <c r="F25" i="18"/>
  <c r="F28" i="17"/>
  <c r="F35" i="17"/>
  <c r="F7" i="17"/>
  <c r="F18" i="14"/>
  <c r="F8" i="14"/>
  <c r="F27" i="14"/>
  <c r="F40" i="14"/>
  <c r="F32" i="14"/>
  <c r="F20" i="14"/>
  <c r="F16" i="14"/>
  <c r="F26" i="14"/>
  <c r="F35" i="14"/>
  <c r="F11" i="14"/>
  <c r="F30" i="14"/>
  <c r="F14" i="14"/>
  <c r="F39" i="14"/>
  <c r="F23" i="18"/>
  <c r="F29" i="18"/>
  <c r="F12" i="17"/>
  <c r="F29" i="14"/>
  <c r="F13" i="14"/>
  <c r="F29" i="17"/>
  <c r="F8" i="18"/>
  <c r="F30" i="18"/>
  <c r="F15" i="17"/>
  <c r="F24" i="17"/>
  <c r="F9" i="17"/>
  <c r="F37" i="14"/>
  <c r="F28" i="14"/>
  <c r="F36" i="14"/>
  <c r="F9" i="14"/>
  <c r="Q11" i="9"/>
  <c r="R11" i="9" s="1"/>
  <c r="Q20" i="9"/>
  <c r="R20" i="9" s="1"/>
  <c r="Q40" i="9"/>
  <c r="R40" i="9" s="1"/>
  <c r="Q28" i="9"/>
  <c r="R28" i="9" s="1"/>
  <c r="Q9" i="9"/>
  <c r="R9" i="9" s="1"/>
  <c r="Q30" i="9"/>
  <c r="R30" i="9" s="1"/>
  <c r="Q23" i="9"/>
  <c r="R23" i="9" s="1"/>
  <c r="Q26" i="9"/>
  <c r="R26" i="9" s="1"/>
  <c r="Q34" i="9"/>
  <c r="R34" i="9" s="1"/>
  <c r="Q19" i="9"/>
  <c r="R19" i="9" s="1"/>
  <c r="Q7" i="9"/>
  <c r="Q10" i="9"/>
  <c r="R10" i="9" s="1"/>
  <c r="Q8" i="9"/>
  <c r="R8" i="9" s="1"/>
  <c r="Q33" i="9"/>
  <c r="R33" i="9" s="1"/>
  <c r="Q14" i="9"/>
  <c r="R14" i="9" s="1"/>
  <c r="Q39" i="9"/>
  <c r="R39" i="9" s="1"/>
  <c r="Q13" i="9"/>
  <c r="R13" i="9" s="1"/>
  <c r="Q18" i="9"/>
  <c r="R18" i="9" s="1"/>
  <c r="Q31" i="9"/>
  <c r="R31" i="9" s="1"/>
  <c r="Q15" i="9"/>
  <c r="R15" i="9" s="1"/>
  <c r="Q36" i="9"/>
  <c r="R36" i="9" s="1"/>
  <c r="Q24" i="9"/>
  <c r="R24" i="9" s="1"/>
  <c r="Q22" i="9"/>
  <c r="R22" i="9" s="1"/>
  <c r="Q25" i="9"/>
  <c r="R25" i="9" s="1"/>
  <c r="Q21" i="9"/>
  <c r="R21" i="9" s="1"/>
  <c r="Q16" i="9"/>
  <c r="R16" i="9" s="1"/>
  <c r="Q32" i="9"/>
  <c r="R32" i="9" s="1"/>
  <c r="Q12" i="9"/>
  <c r="R12" i="9" s="1"/>
  <c r="Q27" i="9"/>
  <c r="R27" i="9" s="1"/>
  <c r="Q35" i="9"/>
  <c r="R35" i="9" s="1"/>
  <c r="Q17" i="9"/>
  <c r="R17" i="9" s="1"/>
  <c r="Q37" i="9"/>
  <c r="R37" i="9" s="1"/>
  <c r="Q29" i="9"/>
  <c r="R29" i="9" s="1"/>
  <c r="Q38" i="9"/>
  <c r="R38" i="9" s="1"/>
  <c r="L10" i="9"/>
  <c r="M10" i="9" s="1"/>
  <c r="L23" i="9"/>
  <c r="M23" i="9" s="1"/>
  <c r="L35" i="9"/>
  <c r="M35" i="9" s="1"/>
  <c r="L14" i="9"/>
  <c r="M14" i="9" s="1"/>
  <c r="L32" i="9"/>
  <c r="M32" i="9" s="1"/>
  <c r="L26" i="9"/>
  <c r="M26" i="9" s="1"/>
  <c r="L33" i="9"/>
  <c r="M33" i="9" s="1"/>
  <c r="L13" i="9"/>
  <c r="M13" i="9" s="1"/>
  <c r="L25" i="9"/>
  <c r="M25" i="9" s="1"/>
  <c r="L34" i="9"/>
  <c r="M34" i="9" s="1"/>
  <c r="L39" i="9"/>
  <c r="M39" i="9" s="1"/>
  <c r="L11" i="9"/>
  <c r="M11" i="9" s="1"/>
  <c r="L27" i="9"/>
  <c r="M27" i="9" s="1"/>
  <c r="L19" i="9"/>
  <c r="M19" i="9" s="1"/>
  <c r="L9" i="9"/>
  <c r="M9" i="9" s="1"/>
  <c r="L24" i="9"/>
  <c r="M24" i="9" s="1"/>
  <c r="L7" i="9"/>
  <c r="L28" i="9"/>
  <c r="M28" i="9" s="1"/>
  <c r="L29" i="9"/>
  <c r="M29" i="9" s="1"/>
  <c r="L8" i="9"/>
  <c r="M8" i="9" s="1"/>
  <c r="L30" i="9"/>
  <c r="M30" i="9" s="1"/>
  <c r="L18" i="9"/>
  <c r="M18" i="9" s="1"/>
  <c r="L15" i="9"/>
  <c r="M15" i="9" s="1"/>
  <c r="L16" i="9"/>
  <c r="M16" i="9" s="1"/>
  <c r="L20" i="9"/>
  <c r="M20" i="9" s="1"/>
  <c r="L38" i="9"/>
  <c r="M38" i="9" s="1"/>
  <c r="L21" i="9"/>
  <c r="M21" i="9" s="1"/>
  <c r="L31" i="9"/>
  <c r="M31" i="9" s="1"/>
  <c r="L12" i="9"/>
  <c r="M12" i="9" s="1"/>
  <c r="L17" i="9"/>
  <c r="M17" i="9" s="1"/>
  <c r="L22" i="9"/>
  <c r="M22" i="9" s="1"/>
  <c r="L36" i="9"/>
  <c r="M36" i="9" s="1"/>
  <c r="L37" i="9"/>
  <c r="M37" i="9" s="1"/>
  <c r="L40" i="9"/>
  <c r="M40" i="9" s="1"/>
  <c r="F40" i="17"/>
  <c r="F30" i="17"/>
  <c r="F16" i="17"/>
  <c r="F19" i="17"/>
  <c r="F33" i="17"/>
  <c r="G23" i="9"/>
  <c r="H23" i="9" s="1"/>
  <c r="G36" i="9"/>
  <c r="H36" i="9" s="1"/>
  <c r="G33" i="9"/>
  <c r="H33" i="9" s="1"/>
  <c r="G8" i="9"/>
  <c r="H8" i="9" s="1"/>
  <c r="G18" i="9"/>
  <c r="H18" i="9" s="1"/>
  <c r="G15" i="9"/>
  <c r="H15" i="9" s="1"/>
  <c r="G24" i="9"/>
  <c r="H24" i="9" s="1"/>
  <c r="G35" i="9"/>
  <c r="H35" i="9" s="1"/>
  <c r="G39" i="9"/>
  <c r="H39" i="9" s="1"/>
  <c r="G20" i="9"/>
  <c r="H20" i="9" s="1"/>
  <c r="G9" i="9"/>
  <c r="H9" i="9" s="1"/>
  <c r="G25" i="9"/>
  <c r="H25" i="9" s="1"/>
  <c r="G37" i="9"/>
  <c r="H37" i="9" s="1"/>
  <c r="G16" i="9"/>
  <c r="H16" i="9" s="1"/>
  <c r="G26" i="9"/>
  <c r="H26" i="9" s="1"/>
  <c r="G29" i="9"/>
  <c r="H29" i="9" s="1"/>
  <c r="G32" i="9"/>
  <c r="H32" i="9" s="1"/>
  <c r="G7" i="9"/>
  <c r="G40" i="9"/>
  <c r="H40" i="9" s="1"/>
  <c r="G31" i="9"/>
  <c r="H31" i="9" s="1"/>
  <c r="G22" i="9"/>
  <c r="H22" i="9" s="1"/>
  <c r="G21" i="9"/>
  <c r="H21" i="9" s="1"/>
  <c r="G34" i="9"/>
  <c r="H34" i="9" s="1"/>
  <c r="G13" i="9"/>
  <c r="H13" i="9" s="1"/>
  <c r="G10" i="9"/>
  <c r="H10" i="9" s="1"/>
  <c r="G19" i="9"/>
  <c r="H19" i="9" s="1"/>
  <c r="G30" i="9"/>
  <c r="H30" i="9" s="1"/>
  <c r="G28" i="9"/>
  <c r="H28" i="9" s="1"/>
  <c r="G12" i="9"/>
  <c r="H12" i="9" s="1"/>
  <c r="G14" i="9"/>
  <c r="H14" i="9" s="1"/>
  <c r="G27" i="9"/>
  <c r="H27" i="9" s="1"/>
  <c r="G38" i="9"/>
  <c r="H38" i="9" s="1"/>
  <c r="G11" i="9"/>
  <c r="H11" i="9" s="1"/>
  <c r="F15" i="18"/>
  <c r="F39" i="18"/>
  <c r="F27" i="17"/>
  <c r="F10" i="17"/>
  <c r="F38" i="17"/>
  <c r="F8" i="17"/>
  <c r="F34" i="20"/>
  <c r="F24" i="14"/>
  <c r="F19" i="14"/>
  <c r="F25" i="14"/>
  <c r="F23" i="14"/>
  <c r="V37" i="9"/>
  <c r="W37" i="9" s="1"/>
  <c r="V27" i="9"/>
  <c r="W27" i="9" s="1"/>
  <c r="V15" i="9"/>
  <c r="W15" i="9" s="1"/>
  <c r="V9" i="9"/>
  <c r="W9" i="9" s="1"/>
  <c r="V20" i="9"/>
  <c r="W20" i="9" s="1"/>
  <c r="V36" i="9"/>
  <c r="W36" i="9" s="1"/>
  <c r="V39" i="9"/>
  <c r="W39" i="9" s="1"/>
  <c r="V35" i="9"/>
  <c r="W35" i="9" s="1"/>
  <c r="V40" i="9"/>
  <c r="W40" i="9" s="1"/>
  <c r="V23" i="9"/>
  <c r="W23" i="9" s="1"/>
  <c r="V21" i="9"/>
  <c r="W21" i="9" s="1"/>
  <c r="V30" i="9"/>
  <c r="W30" i="9" s="1"/>
  <c r="V13" i="9"/>
  <c r="W13" i="9" s="1"/>
  <c r="V18" i="9"/>
  <c r="W18" i="9" s="1"/>
  <c r="V11" i="9"/>
  <c r="W11" i="9" s="1"/>
  <c r="V8" i="9"/>
  <c r="W8" i="9" s="1"/>
  <c r="V10" i="9"/>
  <c r="W10" i="9" s="1"/>
  <c r="V19" i="9"/>
  <c r="W19" i="9" s="1"/>
  <c r="V14" i="9"/>
  <c r="W14" i="9" s="1"/>
  <c r="V24" i="9"/>
  <c r="W24" i="9" s="1"/>
  <c r="V32" i="9"/>
  <c r="W32" i="9" s="1"/>
  <c r="V12" i="9"/>
  <c r="W12" i="9" s="1"/>
  <c r="V26" i="9"/>
  <c r="W26" i="9" s="1"/>
  <c r="V22" i="9"/>
  <c r="W22" i="9" s="1"/>
  <c r="V7" i="9"/>
  <c r="V28" i="9"/>
  <c r="W28" i="9" s="1"/>
  <c r="V16" i="9"/>
  <c r="W16" i="9" s="1"/>
  <c r="V34" i="9"/>
  <c r="W34" i="9" s="1"/>
  <c r="V17" i="9"/>
  <c r="W17" i="9" s="1"/>
  <c r="V38" i="9"/>
  <c r="W38" i="9" s="1"/>
  <c r="V31" i="9"/>
  <c r="W31" i="9" s="1"/>
  <c r="V25" i="9"/>
  <c r="W25" i="9" s="1"/>
  <c r="V29" i="9"/>
  <c r="W29" i="9" s="1"/>
  <c r="V33" i="9"/>
  <c r="W33" i="9" s="1"/>
  <c r="G17" i="9"/>
  <c r="H17" i="9" s="1"/>
  <c r="F17" i="16"/>
  <c r="F24" i="20"/>
  <c r="F13" i="18"/>
  <c r="F17" i="18"/>
  <c r="F27" i="18"/>
  <c r="F21" i="20"/>
  <c r="F19" i="20"/>
  <c r="F9" i="18"/>
  <c r="F36" i="18"/>
  <c r="F35" i="18"/>
  <c r="F14" i="20"/>
  <c r="F16" i="18"/>
  <c r="F8" i="20"/>
  <c r="F37" i="18"/>
  <c r="F26" i="18"/>
  <c r="F22" i="18"/>
  <c r="F10" i="18"/>
  <c r="F39" i="20"/>
  <c r="F25" i="20"/>
  <c r="F23" i="20"/>
  <c r="F40" i="20"/>
  <c r="F27" i="20"/>
  <c r="F31" i="20"/>
  <c r="F37" i="20"/>
  <c r="F37" i="15"/>
  <c r="F28" i="20"/>
  <c r="F28" i="15"/>
  <c r="F27" i="15"/>
  <c r="F26" i="20"/>
  <c r="F12" i="20"/>
  <c r="F39" i="15"/>
  <c r="F14" i="15"/>
  <c r="F9" i="16"/>
  <c r="F8" i="15"/>
  <c r="F23" i="16"/>
  <c r="F21" i="15"/>
  <c r="F35" i="16"/>
  <c r="F39" i="16"/>
  <c r="F22" i="16"/>
  <c r="F30" i="16"/>
  <c r="F7" i="16"/>
  <c r="F36" i="16"/>
  <c r="F11" i="16"/>
  <c r="F37" i="16"/>
  <c r="F31" i="16"/>
  <c r="F21" i="16"/>
  <c r="F24" i="16"/>
  <c r="F26" i="16"/>
  <c r="F33" i="16"/>
  <c r="F10" i="16"/>
  <c r="F14" i="16"/>
  <c r="F15" i="16"/>
  <c r="F27" i="16"/>
  <c r="F12" i="16"/>
  <c r="F29" i="16"/>
  <c r="F18" i="16"/>
  <c r="F38" i="16"/>
  <c r="F16" i="16"/>
  <c r="F32" i="16"/>
  <c r="F13" i="16"/>
  <c r="F34" i="16"/>
  <c r="F20" i="16"/>
  <c r="F40" i="16"/>
  <c r="F19" i="16"/>
  <c r="F25" i="16"/>
  <c r="F28" i="16"/>
  <c r="F38" i="15"/>
  <c r="F23" i="15"/>
  <c r="F36" i="15"/>
  <c r="F29" i="15"/>
  <c r="F26" i="15"/>
  <c r="F15" i="15"/>
  <c r="F11" i="15"/>
  <c r="F7" i="15"/>
  <c r="F17" i="15"/>
  <c r="F33" i="15"/>
  <c r="F16" i="15"/>
  <c r="F18" i="15"/>
  <c r="F20" i="15"/>
  <c r="F16" i="20"/>
  <c r="F30" i="20"/>
  <c r="F17" i="20"/>
  <c r="F29" i="20"/>
  <c r="F38" i="20"/>
  <c r="F22" i="20"/>
  <c r="F15" i="20"/>
  <c r="F13" i="20"/>
  <c r="F11" i="20"/>
  <c r="F35" i="20"/>
  <c r="F18" i="20"/>
  <c r="F9" i="20"/>
  <c r="F33" i="20"/>
  <c r="F10" i="20"/>
  <c r="F36" i="20"/>
  <c r="F20" i="20"/>
  <c r="F32" i="20"/>
  <c r="F25" i="15"/>
  <c r="F32" i="15"/>
  <c r="F31" i="15"/>
  <c r="F24" i="15"/>
  <c r="F10" i="15"/>
  <c r="F30" i="15"/>
  <c r="F13" i="15"/>
  <c r="F22" i="15"/>
  <c r="F19" i="15"/>
  <c r="F40" i="15"/>
  <c r="F34" i="15"/>
  <c r="F9" i="15"/>
  <c r="F35" i="15"/>
  <c r="C4" i="4"/>
  <c r="F21" i="19"/>
  <c r="F33" i="19"/>
  <c r="F9" i="19"/>
  <c r="F30" i="19"/>
  <c r="F18" i="19"/>
  <c r="F25" i="19"/>
  <c r="F11" i="19"/>
  <c r="F15" i="19"/>
  <c r="F40" i="19"/>
  <c r="F36" i="19"/>
  <c r="F16" i="19"/>
  <c r="F27" i="19"/>
  <c r="F39" i="19"/>
  <c r="F8" i="19"/>
  <c r="F29" i="19"/>
  <c r="F28" i="19"/>
  <c r="F7" i="19"/>
  <c r="F10" i="19"/>
  <c r="F32" i="19"/>
  <c r="F37" i="19"/>
  <c r="F35" i="19"/>
  <c r="F34" i="19"/>
  <c r="F13" i="19"/>
  <c r="F22" i="19"/>
  <c r="F20" i="19"/>
  <c r="F12" i="19"/>
  <c r="F19" i="19"/>
  <c r="F14" i="19"/>
  <c r="F23" i="19"/>
  <c r="F38" i="19"/>
  <c r="F31" i="19"/>
  <c r="F17" i="19"/>
  <c r="C4" i="15"/>
  <c r="G12" i="15" s="1"/>
  <c r="C4" i="18"/>
  <c r="G11" i="18" s="1"/>
  <c r="C4" i="20"/>
  <c r="C4" i="19"/>
  <c r="C4" i="17"/>
  <c r="C4" i="16"/>
  <c r="C4" i="14"/>
  <c r="G10" i="17" l="1"/>
  <c r="I41" i="8"/>
  <c r="X11" i="9"/>
  <c r="Y11" i="9" s="1"/>
  <c r="F41" i="14"/>
  <c r="X32" i="9"/>
  <c r="M34" i="1" s="1"/>
  <c r="X13" i="9"/>
  <c r="M15" i="1" s="1"/>
  <c r="G36" i="14"/>
  <c r="E27" i="1" s="1"/>
  <c r="X17" i="9"/>
  <c r="Y17" i="9" s="1"/>
  <c r="F41" i="17"/>
  <c r="X33" i="9"/>
  <c r="M35" i="1" s="1"/>
  <c r="X30" i="9"/>
  <c r="Y30" i="9" s="1"/>
  <c r="X40" i="9"/>
  <c r="Y40" i="9" s="1"/>
  <c r="X9" i="9"/>
  <c r="Y9" i="9" s="1"/>
  <c r="F41" i="18"/>
  <c r="X20" i="9"/>
  <c r="Y20" i="9" s="1"/>
  <c r="X19" i="9"/>
  <c r="H7" i="9"/>
  <c r="G41" i="9"/>
  <c r="X10" i="9"/>
  <c r="X39" i="9"/>
  <c r="X38" i="9"/>
  <c r="X35" i="9"/>
  <c r="X27" i="9"/>
  <c r="X34" i="9"/>
  <c r="X26" i="9"/>
  <c r="X24" i="9"/>
  <c r="X14" i="9"/>
  <c r="X21" i="9"/>
  <c r="X16" i="9"/>
  <c r="X15" i="9"/>
  <c r="G26" i="16"/>
  <c r="H26" i="16" s="1"/>
  <c r="V41" i="9"/>
  <c r="W7" i="9"/>
  <c r="W41" i="9" s="1"/>
  <c r="R7" i="9"/>
  <c r="R41" i="9" s="1"/>
  <c r="Q41" i="9"/>
  <c r="X29" i="9"/>
  <c r="X12" i="9"/>
  <c r="X22" i="9"/>
  <c r="X37" i="9"/>
  <c r="X18" i="9"/>
  <c r="X36" i="9"/>
  <c r="X23" i="9"/>
  <c r="M7" i="9"/>
  <c r="M41" i="9" s="1"/>
  <c r="L41" i="9"/>
  <c r="X28" i="9"/>
  <c r="X31" i="9"/>
  <c r="X25" i="9"/>
  <c r="X8" i="9"/>
  <c r="G41" i="8"/>
  <c r="J7" i="8" s="1"/>
  <c r="K7" i="8" s="1"/>
  <c r="G31" i="20"/>
  <c r="J28" i="1" s="1"/>
  <c r="F41" i="16"/>
  <c r="F41" i="20"/>
  <c r="F41" i="15"/>
  <c r="F45" i="21"/>
  <c r="D22" i="1"/>
  <c r="D43" i="1" s="1"/>
  <c r="G10" i="18"/>
  <c r="K12" i="1" s="1"/>
  <c r="G33" i="15"/>
  <c r="H33" i="15" s="1"/>
  <c r="G26" i="15"/>
  <c r="F26" i="1" s="1"/>
  <c r="G27" i="15"/>
  <c r="F20" i="1" s="1"/>
  <c r="G20" i="18"/>
  <c r="K35" i="1" s="1"/>
  <c r="G29" i="18"/>
  <c r="K40" i="1" s="1"/>
  <c r="G21" i="14"/>
  <c r="E23" i="1" s="1"/>
  <c r="G34" i="20"/>
  <c r="H34" i="20" s="1"/>
  <c r="G18" i="20"/>
  <c r="J15" i="1" s="1"/>
  <c r="G25" i="14"/>
  <c r="H25" i="14" s="1"/>
  <c r="G35" i="20"/>
  <c r="J13" i="1" s="1"/>
  <c r="G7" i="19"/>
  <c r="H7" i="19" s="1"/>
  <c r="G15" i="15"/>
  <c r="F40" i="1" s="1"/>
  <c r="G40" i="18"/>
  <c r="K14" i="1" s="1"/>
  <c r="G9" i="15"/>
  <c r="F13" i="1" s="1"/>
  <c r="G7" i="15"/>
  <c r="F36" i="1" s="1"/>
  <c r="G27" i="20"/>
  <c r="J37" i="1" s="1"/>
  <c r="G28" i="15"/>
  <c r="H28" i="15" s="1"/>
  <c r="G25" i="15"/>
  <c r="H25" i="15" s="1"/>
  <c r="G29" i="16"/>
  <c r="H29" i="16" s="1"/>
  <c r="G31" i="15"/>
  <c r="F28" i="1" s="1"/>
  <c r="G10" i="15"/>
  <c r="F41" i="1" s="1"/>
  <c r="G30" i="15"/>
  <c r="F25" i="1" s="1"/>
  <c r="G22" i="15"/>
  <c r="H22" i="15" s="1"/>
  <c r="G31" i="14"/>
  <c r="H31" i="14" s="1"/>
  <c r="G8" i="15"/>
  <c r="H8" i="15" s="1"/>
  <c r="G24" i="15"/>
  <c r="F33" i="1" s="1"/>
  <c r="G16" i="19"/>
  <c r="I36" i="1" s="1"/>
  <c r="G35" i="15"/>
  <c r="H35" i="15" s="1"/>
  <c r="G39" i="15"/>
  <c r="F23" i="1" s="1"/>
  <c r="G18" i="15"/>
  <c r="H18" i="15" s="1"/>
  <c r="G25" i="20"/>
  <c r="J25" i="1" s="1"/>
  <c r="G36" i="15"/>
  <c r="H36" i="15" s="1"/>
  <c r="G29" i="15"/>
  <c r="F19" i="1" s="1"/>
  <c r="G34" i="15"/>
  <c r="H34" i="15" s="1"/>
  <c r="G39" i="14"/>
  <c r="H39" i="14" s="1"/>
  <c r="G38" i="14"/>
  <c r="E18" i="1" s="1"/>
  <c r="G40" i="14"/>
  <c r="E17" i="1" s="1"/>
  <c r="G10" i="14"/>
  <c r="H10" i="14" s="1"/>
  <c r="G11" i="14"/>
  <c r="H11" i="14" s="1"/>
  <c r="G29" i="14"/>
  <c r="H29" i="14" s="1"/>
  <c r="G35" i="14"/>
  <c r="E28" i="1" s="1"/>
  <c r="G28" i="14"/>
  <c r="E20" i="1" s="1"/>
  <c r="G7" i="17"/>
  <c r="H40" i="1" s="1"/>
  <c r="G19" i="20"/>
  <c r="J26" i="1" s="1"/>
  <c r="G22" i="14"/>
  <c r="E35" i="1" s="1"/>
  <c r="G14" i="14"/>
  <c r="H14" i="14" s="1"/>
  <c r="G17" i="17"/>
  <c r="H22" i="1" s="1"/>
  <c r="G28" i="20"/>
  <c r="J27" i="1" s="1"/>
  <c r="G17" i="18"/>
  <c r="K27" i="1" s="1"/>
  <c r="G30" i="14"/>
  <c r="H30" i="14" s="1"/>
  <c r="G27" i="14"/>
  <c r="H27" i="14" s="1"/>
  <c r="G17" i="14"/>
  <c r="E38" i="1" s="1"/>
  <c r="G12" i="14"/>
  <c r="E36" i="1" s="1"/>
  <c r="F41" i="19"/>
  <c r="G26" i="14"/>
  <c r="E26" i="1" s="1"/>
  <c r="G20" i="14"/>
  <c r="E21" i="1" s="1"/>
  <c r="G13" i="14"/>
  <c r="E33" i="1" s="1"/>
  <c r="G18" i="14"/>
  <c r="H18" i="14" s="1"/>
  <c r="G29" i="17"/>
  <c r="H25" i="1" s="1"/>
  <c r="G29" i="20"/>
  <c r="H29" i="20" s="1"/>
  <c r="G21" i="18"/>
  <c r="H21" i="18" s="1"/>
  <c r="E16" i="4"/>
  <c r="F16" i="4" s="1"/>
  <c r="E37" i="4"/>
  <c r="F37" i="4" s="1"/>
  <c r="E19" i="4"/>
  <c r="E29" i="4"/>
  <c r="E22" i="4"/>
  <c r="F22" i="4" s="1"/>
  <c r="E20" i="4"/>
  <c r="F20" i="4" s="1"/>
  <c r="E24" i="4"/>
  <c r="F24" i="4" s="1"/>
  <c r="E8" i="4"/>
  <c r="F8" i="4" s="1"/>
  <c r="E32" i="4"/>
  <c r="E14" i="4"/>
  <c r="E30" i="4"/>
  <c r="E9" i="4"/>
  <c r="F9" i="4" s="1"/>
  <c r="E26" i="4"/>
  <c r="E40" i="4"/>
  <c r="E27" i="4"/>
  <c r="F27" i="4" s="1"/>
  <c r="E23" i="4"/>
  <c r="E17" i="4"/>
  <c r="E13" i="4"/>
  <c r="E39" i="4"/>
  <c r="F39" i="4" s="1"/>
  <c r="E10" i="4"/>
  <c r="E31" i="4"/>
  <c r="E28" i="4"/>
  <c r="E38" i="4"/>
  <c r="E25" i="4"/>
  <c r="F25" i="4" s="1"/>
  <c r="E21" i="4"/>
  <c r="F21" i="4" s="1"/>
  <c r="E11" i="4"/>
  <c r="E33" i="4"/>
  <c r="E12" i="4"/>
  <c r="F12" i="4" s="1"/>
  <c r="E34" i="4"/>
  <c r="F34" i="4" s="1"/>
  <c r="E18" i="4"/>
  <c r="E7" i="4"/>
  <c r="E36" i="4"/>
  <c r="E35" i="4"/>
  <c r="E15" i="4"/>
  <c r="G32" i="20"/>
  <c r="J16" i="1" s="1"/>
  <c r="G40" i="19"/>
  <c r="I9" i="1" s="1"/>
  <c r="G24" i="20"/>
  <c r="H24" i="20" s="1"/>
  <c r="G38" i="20"/>
  <c r="J19" i="1" s="1"/>
  <c r="G12" i="20"/>
  <c r="H12" i="20" s="1"/>
  <c r="G23" i="20"/>
  <c r="H23" i="20" s="1"/>
  <c r="G19" i="18"/>
  <c r="K36" i="1" s="1"/>
  <c r="G13" i="20"/>
  <c r="H13" i="20" s="1"/>
  <c r="G20" i="20"/>
  <c r="H20" i="20" s="1"/>
  <c r="G14" i="20"/>
  <c r="J39" i="1" s="1"/>
  <c r="G30" i="20"/>
  <c r="J33" i="1" s="1"/>
  <c r="G32" i="15"/>
  <c r="F27" i="1" s="1"/>
  <c r="G14" i="15"/>
  <c r="F30" i="1" s="1"/>
  <c r="G37" i="15"/>
  <c r="H37" i="15" s="1"/>
  <c r="G31" i="18"/>
  <c r="K18" i="1" s="1"/>
  <c r="G28" i="18"/>
  <c r="K32" i="1" s="1"/>
  <c r="G9" i="19"/>
  <c r="I38" i="1" s="1"/>
  <c r="G26" i="20"/>
  <c r="H26" i="20" s="1"/>
  <c r="G10" i="20"/>
  <c r="J36" i="1" s="1"/>
  <c r="G37" i="20"/>
  <c r="H37" i="20" s="1"/>
  <c r="G40" i="20"/>
  <c r="H40" i="20" s="1"/>
  <c r="G23" i="18"/>
  <c r="H23" i="18" s="1"/>
  <c r="G17" i="20"/>
  <c r="J42" i="1" s="1"/>
  <c r="G36" i="20"/>
  <c r="H36" i="20" s="1"/>
  <c r="G15" i="20"/>
  <c r="J30" i="1" s="1"/>
  <c r="G21" i="20"/>
  <c r="J17" i="1" s="1"/>
  <c r="G32" i="19"/>
  <c r="I16" i="1" s="1"/>
  <c r="G23" i="15"/>
  <c r="F18" i="1" s="1"/>
  <c r="G21" i="15"/>
  <c r="F37" i="1" s="1"/>
  <c r="G16" i="15"/>
  <c r="F24" i="1" s="1"/>
  <c r="G38" i="15"/>
  <c r="F11" i="1" s="1"/>
  <c r="G9" i="18"/>
  <c r="K10" i="1" s="1"/>
  <c r="G12" i="18"/>
  <c r="K34" i="1" s="1"/>
  <c r="G22" i="20"/>
  <c r="J35" i="1" s="1"/>
  <c r="G16" i="20"/>
  <c r="J41" i="1" s="1"/>
  <c r="G8" i="20"/>
  <c r="H8" i="20" s="1"/>
  <c r="G39" i="20"/>
  <c r="H39" i="20" s="1"/>
  <c r="G33" i="20"/>
  <c r="H33" i="20" s="1"/>
  <c r="G34" i="19"/>
  <c r="H34" i="19" s="1"/>
  <c r="G35" i="18"/>
  <c r="K23" i="1" s="1"/>
  <c r="G27" i="18"/>
  <c r="H27" i="18" s="1"/>
  <c r="G11" i="20"/>
  <c r="J21" i="1" s="1"/>
  <c r="G7" i="20"/>
  <c r="H7" i="20" s="1"/>
  <c r="G9" i="20"/>
  <c r="H9" i="20" s="1"/>
  <c r="G20" i="19"/>
  <c r="H20" i="19" s="1"/>
  <c r="G40" i="15"/>
  <c r="F9" i="1" s="1"/>
  <c r="G19" i="15"/>
  <c r="F42" i="1" s="1"/>
  <c r="G17" i="15"/>
  <c r="F22" i="1" s="1"/>
  <c r="G11" i="15"/>
  <c r="H11" i="15" s="1"/>
  <c r="G37" i="18"/>
  <c r="H37" i="18" s="1"/>
  <c r="G22" i="18"/>
  <c r="K13" i="1" s="1"/>
  <c r="G16" i="16"/>
  <c r="G31" i="1" s="1"/>
  <c r="G37" i="16"/>
  <c r="G19" i="1" s="1"/>
  <c r="G24" i="17"/>
  <c r="H12" i="1" s="1"/>
  <c r="G27" i="16"/>
  <c r="G37" i="1" s="1"/>
  <c r="G38" i="19"/>
  <c r="H38" i="19" s="1"/>
  <c r="G20" i="17"/>
  <c r="H20" i="17" s="1"/>
  <c r="G35" i="19"/>
  <c r="H35" i="19" s="1"/>
  <c r="G13" i="15"/>
  <c r="G40" i="17"/>
  <c r="H40" i="17" s="1"/>
  <c r="G38" i="17"/>
  <c r="H13" i="1" s="1"/>
  <c r="G18" i="19"/>
  <c r="I35" i="1" s="1"/>
  <c r="G28" i="17"/>
  <c r="H29" i="1" s="1"/>
  <c r="G23" i="19"/>
  <c r="H23" i="19" s="1"/>
  <c r="G20" i="15"/>
  <c r="H20" i="15" s="1"/>
  <c r="G8" i="16"/>
  <c r="H8" i="16" s="1"/>
  <c r="G36" i="17"/>
  <c r="G22" i="17"/>
  <c r="H22" i="17" s="1"/>
  <c r="G25" i="17"/>
  <c r="H34" i="1" s="1"/>
  <c r="G15" i="17"/>
  <c r="H15" i="17" s="1"/>
  <c r="G18" i="17"/>
  <c r="H14" i="1" s="1"/>
  <c r="G33" i="16"/>
  <c r="G42" i="1" s="1"/>
  <c r="G11" i="16"/>
  <c r="H11" i="16" s="1"/>
  <c r="G7" i="16"/>
  <c r="H7" i="16" s="1"/>
  <c r="G34" i="16"/>
  <c r="G41" i="1" s="1"/>
  <c r="G32" i="17"/>
  <c r="H32" i="17" s="1"/>
  <c r="G16" i="17"/>
  <c r="H16" i="17" s="1"/>
  <c r="G9" i="17"/>
  <c r="H36" i="1" s="1"/>
  <c r="G23" i="17"/>
  <c r="H11" i="1" s="1"/>
  <c r="G39" i="17"/>
  <c r="H31" i="1" s="1"/>
  <c r="G30" i="16"/>
  <c r="G30" i="1" s="1"/>
  <c r="G20" i="16"/>
  <c r="H20" i="16" s="1"/>
  <c r="G25" i="16"/>
  <c r="G39" i="1" s="1"/>
  <c r="G12" i="16"/>
  <c r="G26" i="1" s="1"/>
  <c r="G31" i="19"/>
  <c r="I14" i="1" s="1"/>
  <c r="G25" i="19"/>
  <c r="H25" i="19" s="1"/>
  <c r="G33" i="19"/>
  <c r="H33" i="19" s="1"/>
  <c r="G30" i="18"/>
  <c r="K30" i="1" s="1"/>
  <c r="G34" i="18"/>
  <c r="H34" i="18" s="1"/>
  <c r="G8" i="18"/>
  <c r="K16" i="1" s="1"/>
  <c r="G13" i="18"/>
  <c r="K17" i="1" s="1"/>
  <c r="G22" i="16"/>
  <c r="H22" i="16" s="1"/>
  <c r="G40" i="16"/>
  <c r="H40" i="16" s="1"/>
  <c r="G12" i="17"/>
  <c r="H19" i="1" s="1"/>
  <c r="G31" i="17"/>
  <c r="H31" i="17" s="1"/>
  <c r="G18" i="16"/>
  <c r="G11" i="1" s="1"/>
  <c r="G17" i="16"/>
  <c r="H17" i="16" s="1"/>
  <c r="G26" i="17"/>
  <c r="H37" i="1" s="1"/>
  <c r="G27" i="17"/>
  <c r="H38" i="1" s="1"/>
  <c r="G13" i="17"/>
  <c r="H33" i="1" s="1"/>
  <c r="G35" i="17"/>
  <c r="H35" i="17" s="1"/>
  <c r="G9" i="16"/>
  <c r="G12" i="1" s="1"/>
  <c r="G31" i="16"/>
  <c r="H31" i="16" s="1"/>
  <c r="G35" i="16"/>
  <c r="G29" i="1" s="1"/>
  <c r="G32" i="16"/>
  <c r="H32" i="16" s="1"/>
  <c r="G39" i="16"/>
  <c r="G14" i="1" s="1"/>
  <c r="G30" i="19"/>
  <c r="I31" i="1" s="1"/>
  <c r="G22" i="19"/>
  <c r="I17" i="1" s="1"/>
  <c r="G14" i="19"/>
  <c r="I37" i="1" s="1"/>
  <c r="G18" i="18"/>
  <c r="K11" i="1" s="1"/>
  <c r="G15" i="18"/>
  <c r="K26" i="1" s="1"/>
  <c r="G36" i="18"/>
  <c r="H36" i="18" s="1"/>
  <c r="G14" i="18"/>
  <c r="K31" i="1" s="1"/>
  <c r="G8" i="17"/>
  <c r="H41" i="1" s="1"/>
  <c r="G33" i="17"/>
  <c r="H18" i="1" s="1"/>
  <c r="G19" i="17"/>
  <c r="H20" i="1" s="1"/>
  <c r="G34" i="17"/>
  <c r="H34" i="17" s="1"/>
  <c r="G28" i="16"/>
  <c r="H28" i="16" s="1"/>
  <c r="G10" i="16"/>
  <c r="G15" i="1" s="1"/>
  <c r="G21" i="16"/>
  <c r="H21" i="16" s="1"/>
  <c r="G36" i="16"/>
  <c r="G38" i="1" s="1"/>
  <c r="G21" i="19"/>
  <c r="I27" i="1" s="1"/>
  <c r="G19" i="19"/>
  <c r="H19" i="19" s="1"/>
  <c r="G28" i="19"/>
  <c r="H28" i="19" s="1"/>
  <c r="G7" i="18"/>
  <c r="H7" i="18" s="1"/>
  <c r="G16" i="18"/>
  <c r="K21" i="1" s="1"/>
  <c r="G26" i="18"/>
  <c r="K25" i="1" s="1"/>
  <c r="G24" i="18"/>
  <c r="H24" i="18" s="1"/>
  <c r="G33" i="18"/>
  <c r="K22" i="1" s="1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3" i="16"/>
  <c r="H23" i="16" s="1"/>
  <c r="G21" i="17"/>
  <c r="H17" i="1" s="1"/>
  <c r="G37" i="17"/>
  <c r="H21" i="1" s="1"/>
  <c r="G19" i="16"/>
  <c r="G24" i="1" s="1"/>
  <c r="G13" i="16"/>
  <c r="G34" i="1" s="1"/>
  <c r="G24" i="16"/>
  <c r="G40" i="1" s="1"/>
  <c r="G30" i="17"/>
  <c r="H30" i="17" s="1"/>
  <c r="G14" i="17"/>
  <c r="H42" i="1" s="1"/>
  <c r="G11" i="17"/>
  <c r="H30" i="1" s="1"/>
  <c r="G38" i="16"/>
  <c r="H38" i="16" s="1"/>
  <c r="G14" i="16"/>
  <c r="G16" i="1" s="1"/>
  <c r="G15" i="16"/>
  <c r="G36" i="1" s="1"/>
  <c r="G15" i="19"/>
  <c r="I33" i="1" s="1"/>
  <c r="G17" i="19"/>
  <c r="I29" i="1" s="1"/>
  <c r="G13" i="19"/>
  <c r="I30" i="1" s="1"/>
  <c r="G32" i="18"/>
  <c r="H32" i="18" s="1"/>
  <c r="G38" i="18"/>
  <c r="K38" i="1" s="1"/>
  <c r="G39" i="18"/>
  <c r="H39" i="18" s="1"/>
  <c r="G25" i="18"/>
  <c r="K28" i="1" s="1"/>
  <c r="G15" i="14"/>
  <c r="E14" i="1" s="1"/>
  <c r="G34" i="14"/>
  <c r="H34" i="14" s="1"/>
  <c r="G23" i="14"/>
  <c r="H23" i="14" s="1"/>
  <c r="G37" i="14"/>
  <c r="E25" i="1" s="1"/>
  <c r="G27" i="19"/>
  <c r="H27" i="19" s="1"/>
  <c r="G29" i="19"/>
  <c r="I11" i="1" s="1"/>
  <c r="G24" i="19"/>
  <c r="H24" i="19" s="1"/>
  <c r="G39" i="19"/>
  <c r="H39" i="19" s="1"/>
  <c r="G24" i="14"/>
  <c r="H24" i="14" s="1"/>
  <c r="G33" i="14"/>
  <c r="H33" i="14" s="1"/>
  <c r="G9" i="14"/>
  <c r="H9" i="14" s="1"/>
  <c r="G19" i="14"/>
  <c r="E39" i="1" s="1"/>
  <c r="G26" i="19"/>
  <c r="I22" i="1" s="1"/>
  <c r="G12" i="19"/>
  <c r="H12" i="19" s="1"/>
  <c r="G37" i="19"/>
  <c r="I20" i="1" s="1"/>
  <c r="G36" i="19"/>
  <c r="I13" i="1" s="1"/>
  <c r="G8" i="14"/>
  <c r="E41" i="1" s="1"/>
  <c r="G7" i="14"/>
  <c r="H7" i="14" s="1"/>
  <c r="G16" i="14"/>
  <c r="H16" i="14" s="1"/>
  <c r="G32" i="14"/>
  <c r="E24" i="1" s="1"/>
  <c r="G11" i="19"/>
  <c r="H11" i="19" s="1"/>
  <c r="G8" i="19"/>
  <c r="H8" i="19" s="1"/>
  <c r="G10" i="19"/>
  <c r="I39" i="1" s="1"/>
  <c r="H26" i="1"/>
  <c r="H10" i="17"/>
  <c r="F32" i="1"/>
  <c r="H12" i="15"/>
  <c r="K15" i="1"/>
  <c r="H11" i="18"/>
  <c r="M19" i="1" l="1"/>
  <c r="H36" i="14"/>
  <c r="M22" i="1"/>
  <c r="M11" i="1"/>
  <c r="M13" i="1"/>
  <c r="G25" i="1"/>
  <c r="Y32" i="9"/>
  <c r="Y33" i="9"/>
  <c r="Y13" i="9"/>
  <c r="M32" i="1"/>
  <c r="H31" i="20"/>
  <c r="M42" i="1"/>
  <c r="Y26" i="9"/>
  <c r="M28" i="1"/>
  <c r="M21" i="1"/>
  <c r="Y19" i="9"/>
  <c r="Y18" i="9"/>
  <c r="M20" i="1"/>
  <c r="Y27" i="9"/>
  <c r="M30" i="1"/>
  <c r="M39" i="1"/>
  <c r="Y37" i="9"/>
  <c r="Y15" i="9"/>
  <c r="M18" i="1"/>
  <c r="Y8" i="9"/>
  <c r="M10" i="1"/>
  <c r="Y23" i="9"/>
  <c r="M25" i="1"/>
  <c r="Y22" i="9"/>
  <c r="M24" i="1"/>
  <c r="Y16" i="9"/>
  <c r="M17" i="1"/>
  <c r="Y38" i="9"/>
  <c r="M40" i="1"/>
  <c r="M27" i="1"/>
  <c r="Y25" i="9"/>
  <c r="M14" i="1"/>
  <c r="Y12" i="9"/>
  <c r="M23" i="1"/>
  <c r="Y21" i="9"/>
  <c r="M41" i="1"/>
  <c r="Y39" i="9"/>
  <c r="X7" i="9"/>
  <c r="M9" i="1" s="1"/>
  <c r="H41" i="9"/>
  <c r="J39" i="8"/>
  <c r="K39" i="8" s="1"/>
  <c r="J15" i="8"/>
  <c r="K15" i="8" s="1"/>
  <c r="J23" i="8"/>
  <c r="K23" i="8" s="1"/>
  <c r="J38" i="8"/>
  <c r="K38" i="8" s="1"/>
  <c r="J26" i="8"/>
  <c r="K26" i="8" s="1"/>
  <c r="J19" i="8"/>
  <c r="K19" i="8" s="1"/>
  <c r="J8" i="8"/>
  <c r="K8" i="8" s="1"/>
  <c r="J16" i="8"/>
  <c r="K16" i="8" s="1"/>
  <c r="J9" i="8"/>
  <c r="K9" i="8" s="1"/>
  <c r="J28" i="8"/>
  <c r="K28" i="8" s="1"/>
  <c r="J34" i="8"/>
  <c r="K34" i="8" s="1"/>
  <c r="J40" i="8"/>
  <c r="K40" i="8" s="1"/>
  <c r="J27" i="8"/>
  <c r="K27" i="8" s="1"/>
  <c r="J35" i="8"/>
  <c r="K35" i="8" s="1"/>
  <c r="J32" i="8"/>
  <c r="K32" i="8" s="1"/>
  <c r="J25" i="8"/>
  <c r="K25" i="8" s="1"/>
  <c r="J20" i="8"/>
  <c r="K20" i="8" s="1"/>
  <c r="J24" i="8"/>
  <c r="K24" i="8" s="1"/>
  <c r="J17" i="8"/>
  <c r="K17" i="8" s="1"/>
  <c r="J11" i="8"/>
  <c r="K11" i="8" s="1"/>
  <c r="J12" i="8"/>
  <c r="K12" i="8" s="1"/>
  <c r="J37" i="8"/>
  <c r="K37" i="8" s="1"/>
  <c r="J13" i="8"/>
  <c r="K13" i="8" s="1"/>
  <c r="J30" i="8"/>
  <c r="K30" i="8" s="1"/>
  <c r="J14" i="8"/>
  <c r="K14" i="8" s="1"/>
  <c r="J33" i="8"/>
  <c r="K33" i="8" s="1"/>
  <c r="J21" i="8"/>
  <c r="K21" i="8" s="1"/>
  <c r="J31" i="8"/>
  <c r="K31" i="8" s="1"/>
  <c r="J10" i="8"/>
  <c r="K10" i="8" s="1"/>
  <c r="J36" i="8"/>
  <c r="K36" i="8" s="1"/>
  <c r="J18" i="8"/>
  <c r="K18" i="8" s="1"/>
  <c r="J22" i="8"/>
  <c r="K22" i="8" s="1"/>
  <c r="J29" i="8"/>
  <c r="K29" i="8" s="1"/>
  <c r="Y31" i="9"/>
  <c r="M33" i="1"/>
  <c r="M31" i="1"/>
  <c r="Y29" i="9"/>
  <c r="Y14" i="9"/>
  <c r="M16" i="1"/>
  <c r="Y10" i="9"/>
  <c r="M12" i="1"/>
  <c r="M36" i="1"/>
  <c r="Y34" i="9"/>
  <c r="M37" i="1"/>
  <c r="Y35" i="9"/>
  <c r="M29" i="1"/>
  <c r="Y28" i="9"/>
  <c r="Y36" i="9"/>
  <c r="M38" i="1"/>
  <c r="Y24" i="9"/>
  <c r="M26" i="1"/>
  <c r="H20" i="18"/>
  <c r="H27" i="15"/>
  <c r="H26" i="15"/>
  <c r="H10" i="18"/>
  <c r="E41" i="4"/>
  <c r="F41" i="4" s="1"/>
  <c r="F29" i="1"/>
  <c r="H29" i="18"/>
  <c r="H40" i="14"/>
  <c r="J38" i="1"/>
  <c r="H17" i="14"/>
  <c r="I23" i="1"/>
  <c r="H7" i="15"/>
  <c r="H15" i="1"/>
  <c r="H18" i="20"/>
  <c r="K37" i="1"/>
  <c r="H9" i="19"/>
  <c r="F16" i="1"/>
  <c r="H7" i="17"/>
  <c r="E16" i="1"/>
  <c r="H15" i="19"/>
  <c r="H26" i="14"/>
  <c r="E15" i="1"/>
  <c r="F38" i="1"/>
  <c r="H28" i="20"/>
  <c r="H15" i="15"/>
  <c r="H35" i="20"/>
  <c r="H19" i="16"/>
  <c r="I42" i="1"/>
  <c r="H21" i="14"/>
  <c r="G33" i="1"/>
  <c r="H29" i="15"/>
  <c r="F15" i="1"/>
  <c r="H27" i="20"/>
  <c r="F12" i="1"/>
  <c r="H10" i="19"/>
  <c r="H15" i="20"/>
  <c r="F35" i="1"/>
  <c r="H17" i="15"/>
  <c r="H9" i="15"/>
  <c r="G41" i="18"/>
  <c r="H41" i="18" s="1"/>
  <c r="H28" i="18"/>
  <c r="E42" i="1"/>
  <c r="H11" i="20"/>
  <c r="H9" i="16"/>
  <c r="F34" i="1"/>
  <c r="J20" i="1"/>
  <c r="H24" i="15"/>
  <c r="H16" i="1"/>
  <c r="G20" i="1"/>
  <c r="H22" i="14"/>
  <c r="H17" i="19"/>
  <c r="G13" i="1"/>
  <c r="F28" i="4"/>
  <c r="H40" i="18"/>
  <c r="E11" i="1"/>
  <c r="J29" i="1"/>
  <c r="H11" i="17"/>
  <c r="F40" i="4"/>
  <c r="I15" i="1"/>
  <c r="F10" i="1"/>
  <c r="H29" i="19"/>
  <c r="F31" i="1"/>
  <c r="H14" i="20"/>
  <c r="H23" i="1"/>
  <c r="H13" i="17"/>
  <c r="I41" i="1"/>
  <c r="H19" i="14"/>
  <c r="H37" i="14"/>
  <c r="H38" i="20"/>
  <c r="H22" i="19"/>
  <c r="H15" i="18"/>
  <c r="H15" i="14"/>
  <c r="H18" i="18"/>
  <c r="H31" i="19"/>
  <c r="K9" i="1"/>
  <c r="H28" i="17"/>
  <c r="H19" i="15"/>
  <c r="H31" i="15"/>
  <c r="H8" i="14"/>
  <c r="H19" i="17"/>
  <c r="K19" i="1"/>
  <c r="J23" i="1"/>
  <c r="H30" i="15"/>
  <c r="G28" i="1"/>
  <c r="H17" i="18"/>
  <c r="H27" i="16"/>
  <c r="F39" i="1"/>
  <c r="H10" i="15"/>
  <c r="K20" i="1"/>
  <c r="H37" i="16"/>
  <c r="H27" i="1"/>
  <c r="F17" i="1"/>
  <c r="E37" i="1"/>
  <c r="H38" i="18"/>
  <c r="J40" i="1"/>
  <c r="H16" i="19"/>
  <c r="J24" i="1"/>
  <c r="H12" i="14"/>
  <c r="H23" i="15"/>
  <c r="H35" i="14"/>
  <c r="E22" i="1"/>
  <c r="H18" i="17"/>
  <c r="H13" i="14"/>
  <c r="H39" i="15"/>
  <c r="H16" i="16"/>
  <c r="H23" i="17"/>
  <c r="I26" i="1"/>
  <c r="H30" i="20"/>
  <c r="J14" i="1"/>
  <c r="F15" i="4"/>
  <c r="H35" i="18"/>
  <c r="H39" i="1"/>
  <c r="J18" i="1"/>
  <c r="H17" i="17"/>
  <c r="I19" i="1"/>
  <c r="H19" i="18"/>
  <c r="H37" i="17"/>
  <c r="E12" i="1"/>
  <c r="H17" i="20"/>
  <c r="E10" i="1"/>
  <c r="J34" i="1"/>
  <c r="F18" i="4"/>
  <c r="H31" i="18"/>
  <c r="F35" i="4"/>
  <c r="F17" i="4"/>
  <c r="F32" i="4"/>
  <c r="K39" i="1"/>
  <c r="I32" i="1"/>
  <c r="J10" i="1"/>
  <c r="H12" i="16"/>
  <c r="H33" i="16"/>
  <c r="H38" i="15"/>
  <c r="H16" i="15"/>
  <c r="G41" i="15"/>
  <c r="H41" i="15" s="1"/>
  <c r="E40" i="1"/>
  <c r="F13" i="4"/>
  <c r="H15" i="16"/>
  <c r="H25" i="20"/>
  <c r="E31" i="1"/>
  <c r="H18" i="16"/>
  <c r="F29" i="4"/>
  <c r="H26" i="18"/>
  <c r="I24" i="1"/>
  <c r="H35" i="1"/>
  <c r="H9" i="18"/>
  <c r="H14" i="15"/>
  <c r="E13" i="1"/>
  <c r="H20" i="14"/>
  <c r="F33" i="4"/>
  <c r="J31" i="1"/>
  <c r="F30" i="4"/>
  <c r="H32" i="15"/>
  <c r="H21" i="17"/>
  <c r="E30" i="1"/>
  <c r="K24" i="1"/>
  <c r="H21" i="20"/>
  <c r="H25" i="17"/>
  <c r="J9" i="1"/>
  <c r="H38" i="17"/>
  <c r="H38" i="14"/>
  <c r="H12" i="18"/>
  <c r="H40" i="19"/>
  <c r="H29" i="17"/>
  <c r="H32" i="20"/>
  <c r="G23" i="1"/>
  <c r="F10" i="4"/>
  <c r="I12" i="1"/>
  <c r="H19" i="20"/>
  <c r="H28" i="14"/>
  <c r="H28" i="1"/>
  <c r="H22" i="18"/>
  <c r="K42" i="1"/>
  <c r="K29" i="1"/>
  <c r="G41" i="20"/>
  <c r="H41" i="20" s="1"/>
  <c r="I25" i="1"/>
  <c r="H14" i="19"/>
  <c r="G18" i="1"/>
  <c r="H10" i="20"/>
  <c r="H24" i="1"/>
  <c r="H22" i="20"/>
  <c r="H21" i="15"/>
  <c r="F19" i="4"/>
  <c r="F11" i="4"/>
  <c r="F14" i="4"/>
  <c r="F7" i="4"/>
  <c r="F36" i="4"/>
  <c r="F23" i="4"/>
  <c r="F38" i="4"/>
  <c r="F31" i="4"/>
  <c r="J32" i="1"/>
  <c r="H25" i="18"/>
  <c r="H16" i="18"/>
  <c r="H18" i="19"/>
  <c r="H40" i="15"/>
  <c r="H24" i="17"/>
  <c r="H16" i="20"/>
  <c r="H32" i="19"/>
  <c r="G32" i="1"/>
  <c r="F26" i="4"/>
  <c r="K41" i="1"/>
  <c r="G41" i="16"/>
  <c r="H41" i="16" s="1"/>
  <c r="H32" i="14"/>
  <c r="J22" i="1"/>
  <c r="I34" i="1"/>
  <c r="J12" i="1"/>
  <c r="J11" i="1"/>
  <c r="F14" i="1"/>
  <c r="H30" i="18"/>
  <c r="I21" i="1"/>
  <c r="H8" i="17"/>
  <c r="H8" i="18"/>
  <c r="H39" i="16"/>
  <c r="H12" i="17"/>
  <c r="K33" i="1"/>
  <c r="G35" i="1"/>
  <c r="H10" i="1"/>
  <c r="I18" i="1"/>
  <c r="H14" i="16"/>
  <c r="H14" i="17"/>
  <c r="H13" i="15"/>
  <c r="H36" i="16"/>
  <c r="G41" i="17"/>
  <c r="H41" i="17" s="1"/>
  <c r="H25" i="16"/>
  <c r="H24" i="16"/>
  <c r="H33" i="18"/>
  <c r="H32" i="1"/>
  <c r="F21" i="1"/>
  <c r="H13" i="19"/>
  <c r="H9" i="17"/>
  <c r="G9" i="1"/>
  <c r="H21" i="19"/>
  <c r="G10" i="1"/>
  <c r="H27" i="17"/>
  <c r="H26" i="17"/>
  <c r="G21" i="1"/>
  <c r="E9" i="1"/>
  <c r="G17" i="1"/>
  <c r="H34" i="16"/>
  <c r="H36" i="17"/>
  <c r="G22" i="1"/>
  <c r="H30" i="16"/>
  <c r="H9" i="1"/>
  <c r="E32" i="1"/>
  <c r="I28" i="1"/>
  <c r="G27" i="1"/>
  <c r="H35" i="16"/>
  <c r="E19" i="1"/>
  <c r="H13" i="16"/>
  <c r="E29" i="1"/>
  <c r="H39" i="17"/>
  <c r="H14" i="18"/>
  <c r="H30" i="19"/>
  <c r="G41" i="14"/>
  <c r="H41" i="14" s="1"/>
  <c r="H10" i="16"/>
  <c r="H33" i="17"/>
  <c r="H13" i="18"/>
  <c r="F7" i="21"/>
  <c r="E43" i="21"/>
  <c r="H26" i="19"/>
  <c r="H36" i="19"/>
  <c r="H37" i="19"/>
  <c r="E34" i="1"/>
  <c r="G41" i="19"/>
  <c r="H41" i="19" s="1"/>
  <c r="I40" i="1"/>
  <c r="I10" i="1"/>
  <c r="L13" i="8" l="1"/>
  <c r="L15" i="1"/>
  <c r="N15" i="1" s="1"/>
  <c r="L18" i="1"/>
  <c r="N18" i="1" s="1"/>
  <c r="L16" i="8"/>
  <c r="L36" i="8"/>
  <c r="L38" i="1"/>
  <c r="N38" i="1" s="1"/>
  <c r="L35" i="8"/>
  <c r="L37" i="1"/>
  <c r="N37" i="1" s="1"/>
  <c r="L10" i="8"/>
  <c r="L12" i="1"/>
  <c r="N12" i="1" s="1"/>
  <c r="L27" i="8"/>
  <c r="L29" i="1"/>
  <c r="N29" i="1" s="1"/>
  <c r="L31" i="8"/>
  <c r="L33" i="1"/>
  <c r="N33" i="1" s="1"/>
  <c r="L23" i="1"/>
  <c r="N23" i="1" s="1"/>
  <c r="L21" i="8"/>
  <c r="L19" i="1"/>
  <c r="N19" i="1" s="1"/>
  <c r="L17" i="8"/>
  <c r="L40" i="8"/>
  <c r="L42" i="1"/>
  <c r="N42" i="1" s="1"/>
  <c r="L40" i="1"/>
  <c r="N40" i="1" s="1"/>
  <c r="L38" i="8"/>
  <c r="L35" i="1"/>
  <c r="N35" i="1" s="1"/>
  <c r="L33" i="8"/>
  <c r="L24" i="8"/>
  <c r="L26" i="1"/>
  <c r="N26" i="1" s="1"/>
  <c r="L34" i="8"/>
  <c r="L36" i="1"/>
  <c r="N36" i="1" s="1"/>
  <c r="L25" i="1"/>
  <c r="N25" i="1" s="1"/>
  <c r="L23" i="8"/>
  <c r="L32" i="8"/>
  <c r="L34" i="1"/>
  <c r="N34" i="1" s="1"/>
  <c r="L39" i="1"/>
  <c r="N39" i="1" s="1"/>
  <c r="L37" i="8"/>
  <c r="L8" i="8"/>
  <c r="L10" i="1"/>
  <c r="N10" i="1" s="1"/>
  <c r="X41" i="9"/>
  <c r="Y41" i="9" s="1"/>
  <c r="M43" i="1"/>
  <c r="Y7" i="9"/>
  <c r="L12" i="8"/>
  <c r="L14" i="1"/>
  <c r="N14" i="1" s="1"/>
  <c r="L21" i="1"/>
  <c r="N21" i="1" s="1"/>
  <c r="L19" i="8"/>
  <c r="L13" i="1"/>
  <c r="N13" i="1" s="1"/>
  <c r="L11" i="8"/>
  <c r="L28" i="1"/>
  <c r="N28" i="1" s="1"/>
  <c r="L26" i="8"/>
  <c r="L31" i="1"/>
  <c r="N31" i="1" s="1"/>
  <c r="L29" i="8"/>
  <c r="L14" i="8"/>
  <c r="L16" i="1"/>
  <c r="N16" i="1" s="1"/>
  <c r="L20" i="8"/>
  <c r="L22" i="1"/>
  <c r="N22" i="1" s="1"/>
  <c r="L28" i="8"/>
  <c r="L30" i="1"/>
  <c r="N30" i="1" s="1"/>
  <c r="L15" i="8"/>
  <c r="L17" i="1"/>
  <c r="N17" i="1" s="1"/>
  <c r="L20" i="1"/>
  <c r="N20" i="1" s="1"/>
  <c r="L18" i="8"/>
  <c r="J41" i="8"/>
  <c r="L22" i="8"/>
  <c r="L24" i="1"/>
  <c r="N24" i="1" s="1"/>
  <c r="L32" i="1"/>
  <c r="N32" i="1" s="1"/>
  <c r="L30" i="8"/>
  <c r="L25" i="8"/>
  <c r="L27" i="1"/>
  <c r="N27" i="1" s="1"/>
  <c r="L11" i="1"/>
  <c r="N11" i="1" s="1"/>
  <c r="L9" i="8"/>
  <c r="L41" i="1"/>
  <c r="N41" i="1" s="1"/>
  <c r="L39" i="8"/>
  <c r="F43" i="21"/>
  <c r="E44" i="21"/>
  <c r="F43" i="1"/>
  <c r="J43" i="1"/>
  <c r="K43" i="1"/>
  <c r="G43" i="1"/>
  <c r="H43" i="1"/>
  <c r="I43" i="1"/>
  <c r="E43" i="1"/>
  <c r="R42" i="1" l="1"/>
  <c r="R34" i="1"/>
  <c r="R38" i="1"/>
  <c r="R28" i="1"/>
  <c r="Q32" i="1"/>
  <c r="Q31" i="1"/>
  <c r="Q40" i="1"/>
  <c r="Q34" i="1"/>
  <c r="Q30" i="1"/>
  <c r="Q23" i="1"/>
  <c r="Q33" i="1"/>
  <c r="Q22" i="1"/>
  <c r="Q13" i="1"/>
  <c r="Q10" i="1"/>
  <c r="Q42" i="1"/>
  <c r="Q24" i="1"/>
  <c r="Q41" i="1"/>
  <c r="Q18" i="1"/>
  <c r="Q37" i="1"/>
  <c r="Q27" i="1"/>
  <c r="Q15" i="1"/>
  <c r="Q35" i="1"/>
  <c r="Q28" i="1"/>
  <c r="Q38" i="1"/>
  <c r="Q25" i="1"/>
  <c r="Q11" i="1"/>
  <c r="Q20" i="1"/>
  <c r="Q21" i="1"/>
  <c r="Q26" i="1"/>
  <c r="Q12" i="1"/>
  <c r="Q17" i="1"/>
  <c r="Q14" i="1"/>
  <c r="Q19" i="1"/>
  <c r="Q36" i="1"/>
  <c r="Q29" i="1"/>
  <c r="Q16" i="1"/>
  <c r="Q39" i="1"/>
  <c r="L9" i="1"/>
  <c r="K41" i="8"/>
  <c r="L41" i="8" s="1"/>
  <c r="L7" i="8"/>
  <c r="L43" i="1" l="1"/>
  <c r="N9" i="1"/>
  <c r="R15" i="1" s="1"/>
  <c r="Q9" i="1" l="1"/>
  <c r="N43" i="1"/>
  <c r="O9" i="1" l="1"/>
  <c r="R43" i="1"/>
  <c r="O42" i="1"/>
  <c r="O29" i="1"/>
  <c r="O28" i="1"/>
  <c r="O10" i="1"/>
  <c r="O26" i="1"/>
  <c r="O20" i="1"/>
  <c r="O17" i="1"/>
  <c r="O39" i="1"/>
  <c r="O31" i="1"/>
  <c r="O34" i="1"/>
  <c r="O12" i="1"/>
  <c r="O24" i="1"/>
  <c r="O27" i="1"/>
  <c r="O37" i="1"/>
  <c r="O35" i="1"/>
  <c r="O40" i="1"/>
  <c r="O19" i="1"/>
  <c r="O36" i="1"/>
  <c r="O21" i="1"/>
  <c r="O14" i="1"/>
  <c r="O25" i="1"/>
  <c r="O23" i="1"/>
  <c r="O32" i="1"/>
  <c r="Q43" i="1"/>
  <c r="O33" i="1"/>
  <c r="O22" i="1"/>
  <c r="O15" i="1"/>
  <c r="O41" i="1"/>
  <c r="O13" i="1"/>
  <c r="O30" i="1"/>
  <c r="O18" i="1"/>
  <c r="O11" i="1"/>
  <c r="O16" i="1"/>
  <c r="O38" i="1"/>
  <c r="O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<sst xmlns="http://schemas.openxmlformats.org/spreadsheetml/2006/main" count="366" uniqueCount="156">
  <si>
    <t>Total Pool</t>
  </si>
  <si>
    <t>County Population</t>
  </si>
  <si>
    <t>Total</t>
  </si>
  <si>
    <t>% Split</t>
  </si>
  <si>
    <t>Y</t>
  </si>
  <si>
    <t>Award Percentage</t>
  </si>
  <si>
    <t>Weighted Per Capita</t>
  </si>
  <si>
    <t>County Group</t>
  </si>
  <si>
    <t>Burden of Disease Rank</t>
  </si>
  <si>
    <t>Health Status Rank</t>
  </si>
  <si>
    <t>Category Weight</t>
  </si>
  <si>
    <t>Category Dollars</t>
  </si>
  <si>
    <t>Award Per Capita</t>
  </si>
  <si>
    <t>Weighted Payout</t>
  </si>
  <si>
    <t>Rank</t>
  </si>
  <si>
    <t>% of Total Population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</si>
  <si>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</si>
  <si>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</si>
  <si>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t>% Non-white Population</t>
  </si>
  <si>
    <t>Limited English Proficiency</t>
  </si>
  <si>
    <t>Floor</t>
  </si>
  <si>
    <t>Total Pool:</t>
  </si>
  <si>
    <t>Medium County Floor:</t>
  </si>
  <si>
    <t>Large County Floor:</t>
  </si>
  <si>
    <t>Small County Floor:</t>
  </si>
  <si>
    <t>County Population:</t>
  </si>
  <si>
    <t>Burden of Disease:</t>
  </si>
  <si>
    <t>Health Status:</t>
  </si>
  <si>
    <t>Racial/Ethinic Diversity:</t>
  </si>
  <si>
    <t>Poverty:</t>
  </si>
  <si>
    <t>Limited English Proficiency:</t>
  </si>
  <si>
    <t>Matching Funds:</t>
  </si>
  <si>
    <t>Incentives:</t>
  </si>
  <si>
    <t>Weight</t>
  </si>
  <si>
    <t>Weighted Average</t>
  </si>
  <si>
    <t>Extra Small County Floor:</t>
  </si>
  <si>
    <t>Extra Large County Floor:</t>
  </si>
  <si>
    <t>Avg Award Per Capita</t>
  </si>
  <si>
    <t>Education:</t>
  </si>
  <si>
    <t>Total Award</t>
  </si>
  <si>
    <t>High School Education</t>
  </si>
  <si>
    <t>Indicator Pool</t>
  </si>
  <si>
    <t>PHAB Funding and Incentives Subcommittee</t>
  </si>
  <si>
    <t>County Size Bands</t>
  </si>
  <si>
    <t>Extra Small</t>
  </si>
  <si>
    <t>Small</t>
  </si>
  <si>
    <t>Medium</t>
  </si>
  <si>
    <t>Large</t>
  </si>
  <si>
    <t>Extra Large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</si>
  <si>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</si>
  <si>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</si>
  <si>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</si>
  <si>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</si>
  <si>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</si>
  <si>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</si>
  <si>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</si>
  <si>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</si>
  <si>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</si>
  <si>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</si>
  <si>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</si>
  <si>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</si>
  <si>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</si>
  <si>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</si>
  <si>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</si>
  <si>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</si>
  <si>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</si>
  <si>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</si>
  <si>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</si>
  <si>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</si>
  <si>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</si>
  <si>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</si>
  <si>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</si>
  <si>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</si>
  <si>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</si>
  <si>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</si>
  <si>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Tillamook</t>
  </si>
  <si>
    <t>Umatilla</t>
  </si>
  <si>
    <t>Union</t>
  </si>
  <si>
    <t>Wallowa</t>
  </si>
  <si>
    <t>Washington</t>
  </si>
  <si>
    <t>Wheeler</t>
  </si>
  <si>
    <t>Yamhill</t>
  </si>
  <si>
    <t>Population below 150% FPL</t>
  </si>
  <si>
    <t>Rurality</t>
  </si>
  <si>
    <t>Gilliam, Sherman, Wasco</t>
  </si>
  <si>
    <t>Rurality:</t>
  </si>
  <si>
    <t>Indicator Allocations:</t>
  </si>
  <si>
    <t>Base Funding:</t>
  </si>
  <si>
    <t>Floor Payment</t>
  </si>
  <si>
    <t>Band</t>
  </si>
  <si>
    <t>Gilliam</t>
  </si>
  <si>
    <t>Sherman</t>
  </si>
  <si>
    <t>Wasco</t>
  </si>
  <si>
    <t>Total Funding:</t>
  </si>
  <si>
    <t>Incentive 1</t>
  </si>
  <si>
    <t>Met? (Y/N)</t>
  </si>
  <si>
    <t>Floor Payout</t>
  </si>
  <si>
    <t>Total Payout</t>
  </si>
  <si>
    <t>Incentive 2</t>
  </si>
  <si>
    <t>Incentive 3</t>
  </si>
  <si>
    <t>Incentive 4</t>
  </si>
  <si>
    <t>Incentive 1:</t>
  </si>
  <si>
    <t>Incentive 2:</t>
  </si>
  <si>
    <t>Incentive 3:</t>
  </si>
  <si>
    <t>Incentive 4:</t>
  </si>
  <si>
    <t>Qualified Population</t>
  </si>
  <si>
    <t>Population Payout</t>
  </si>
  <si>
    <t>Grand Total Payout</t>
  </si>
  <si>
    <t>Payout Per Capita</t>
  </si>
  <si>
    <t>Increase Funding</t>
  </si>
  <si>
    <t>Matching
(New Funds)</t>
  </si>
  <si>
    <t>Maintenance % Split</t>
  </si>
  <si>
    <t>Floor % Split</t>
  </si>
  <si>
    <t>Maintenance Payout</t>
  </si>
  <si>
    <t>Base component</t>
  </si>
  <si>
    <t>Matching and Incentive fund components</t>
  </si>
  <si>
    <t>Total county allocation</t>
  </si>
  <si>
    <t>Matching Funds</t>
  </si>
  <si>
    <t>Incentives</t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</si>
  <si>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</si>
  <si>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t>up to 20,000</t>
  </si>
  <si>
    <t>20,000-75,000</t>
  </si>
  <si>
    <t>75,000-150,000</t>
  </si>
  <si>
    <t>2017 Funding</t>
  </si>
  <si>
    <t>2018 Funding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</si>
  <si>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</si>
  <si>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</si>
  <si>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</si>
  <si>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</si>
  <si>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</si>
  <si>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t>Public Health Modernization LPHA Funding Formula</t>
  </si>
  <si>
    <r>
      <t xml:space="preserve">5 </t>
    </r>
    <r>
      <rPr>
        <sz val="11"/>
        <rFont val="Calibri"/>
        <family val="2"/>
        <scheme val="minor"/>
      </rPr>
      <t>Source: U.S. Census Bureau, Population estimates, 2010</t>
    </r>
  </si>
  <si>
    <r>
      <t xml:space="preserve">4 </t>
    </r>
    <r>
      <rPr>
        <sz val="11"/>
        <rFont val="Calibri"/>
        <family val="2"/>
        <scheme val="minor"/>
      </rPr>
      <t>Source: American Community Survey population 5-year estimate, 2014-2018</t>
    </r>
  </si>
  <si>
    <r>
      <t xml:space="preserve">2 </t>
    </r>
    <r>
      <rPr>
        <sz val="11"/>
        <rFont val="Calibri"/>
        <family val="2"/>
        <scheme val="minor"/>
      </rPr>
      <t>Source: Premature death: Leading causes of years of potential life lost before age 75. Oregon death certificate data, 2014-2018</t>
    </r>
  </si>
  <si>
    <r>
      <t xml:space="preserve">3 </t>
    </r>
    <r>
      <rPr>
        <sz val="11"/>
        <rFont val="Calibri"/>
        <family val="2"/>
        <scheme val="minor"/>
      </rPr>
      <t>Source: Quality of life: Good or excellent health, 2014-2017</t>
    </r>
  </si>
  <si>
    <t>extra small</t>
  </si>
  <si>
    <t>small</t>
  </si>
  <si>
    <t>medium</t>
  </si>
  <si>
    <t>large</t>
  </si>
  <si>
    <t>extra large</t>
  </si>
  <si>
    <t>factor</t>
  </si>
  <si>
    <t>#</t>
  </si>
  <si>
    <t>Factor</t>
  </si>
  <si>
    <t>for cell C8 calculation on 'Input' page</t>
  </si>
  <si>
    <t>Updated March, 2021</t>
  </si>
  <si>
    <r>
      <t>1</t>
    </r>
    <r>
      <rPr>
        <sz val="11"/>
        <rFont val="Calibri"/>
        <family val="2"/>
      </rPr>
      <t xml:space="preserve"> Source: Portland State University Certified Population estimate July 1, 2020</t>
    </r>
  </si>
  <si>
    <t>Funding Formula update: March 2021</t>
  </si>
  <si>
    <t>Delete</t>
  </si>
  <si>
    <t>Large and extra large counties are being removed -</t>
  </si>
  <si>
    <t>delete</t>
  </si>
  <si>
    <t>CDC STD DIS Workforce funding, active 1/1/2022-12/31/2022</t>
  </si>
  <si>
    <t>Total funds available to LPHAs*</t>
  </si>
  <si>
    <t xml:space="preserve">* Counties receiving HIV Early Intervention Services funding are excluded from this funding formula as they receive separate funds for STD DIS staffing. </t>
  </si>
  <si>
    <t>$79,033 is average DIS salary cost (including fringe)</t>
  </si>
  <si>
    <t>$158,066 is average cost for 2 DIS (including fringe)</t>
  </si>
  <si>
    <t>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</si>
</sst>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vertAlign val="superscript"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9" fillId="0" borderId="0"/>
  </cellStyleXfs>
  <cellXfs count="221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0" fillId="0" borderId="0" xfId="0" quotePrefix="1"/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7" borderId="16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7" xfId="0" applyBorder="1"/>
    <xf numFmtId="44" fontId="3" fillId="7" borderId="17" xfId="2" applyNumberFormat="1" applyFont="1" applyFill="1" applyBorder="1" applyAlignment="1">
      <alignment horizontal="center"/>
    </xf>
    <xf numFmtId="0" fontId="0" fillId="8" borderId="16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6" xfId="0" applyFont="1" applyFill="1" applyBorder="1" applyAlignment="1"/>
    <xf numFmtId="44" fontId="3" fillId="8" borderId="17" xfId="2" applyNumberFormat="1" applyFont="1" applyFill="1" applyBorder="1" applyAlignment="1">
      <alignment horizontal="center"/>
    </xf>
    <xf numFmtId="0" fontId="0" fillId="10" borderId="16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7" xfId="2" applyNumberFormat="1" applyFont="1" applyFill="1" applyBorder="1" applyAlignment="1">
      <alignment horizontal="center"/>
    </xf>
    <xf numFmtId="0" fontId="0" fillId="5" borderId="16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7" xfId="2" applyNumberFormat="1" applyFont="1" applyFill="1" applyBorder="1" applyAlignment="1">
      <alignment horizontal="center"/>
    </xf>
    <xf numFmtId="0" fontId="0" fillId="6" borderId="16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7" xfId="2" applyNumberFormat="1" applyFont="1" applyFill="1" applyBorder="1" applyAlignment="1">
      <alignment horizontal="center"/>
    </xf>
    <xf numFmtId="0" fontId="3" fillId="2" borderId="18" xfId="0" applyFont="1" applyFill="1" applyBorder="1"/>
    <xf numFmtId="164" fontId="3" fillId="2" borderId="19" xfId="0" applyNumberFormat="1" applyFont="1" applyFill="1" applyBorder="1"/>
    <xf numFmtId="165" fontId="3" fillId="2" borderId="19" xfId="0" applyNumberFormat="1" applyFont="1" applyFill="1" applyBorder="1"/>
    <xf numFmtId="166" fontId="3" fillId="2" borderId="19" xfId="3" applyNumberFormat="1" applyFont="1" applyFill="1" applyBorder="1"/>
    <xf numFmtId="44" fontId="3" fillId="2" borderId="20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3" xfId="0" applyNumberFormat="1" applyFont="1" applyFill="1" applyBorder="1"/>
    <xf numFmtId="165" fontId="3" fillId="2" borderId="24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3" fillId="2" borderId="24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3" xfId="0" applyNumberFormat="1" applyFont="1" applyFill="1" applyBorder="1"/>
    <xf numFmtId="165" fontId="16" fillId="2" borderId="24" xfId="0" applyNumberFormat="1" applyFont="1" applyFill="1" applyBorder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44" fontId="3" fillId="0" borderId="17" xfId="2" applyNumberFormat="1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20" fillId="0" borderId="0" xfId="0" applyFont="1" applyFill="1" applyAlignment="1"/>
    <xf numFmtId="0" fontId="20" fillId="0" borderId="0" xfId="0" applyFont="1" applyFill="1" applyAlignment="1">
      <alignment horizontal="left"/>
    </xf>
    <xf numFmtId="43" fontId="0" fillId="9" borderId="0" xfId="1" applyFont="1" applyFill="1" applyBorder="1" applyAlignment="1">
      <alignment horizontal="center"/>
    </xf>
    <xf numFmtId="43" fontId="0" fillId="9" borderId="6" xfId="1" applyFont="1" applyFill="1" applyBorder="1" applyAlignment="1">
      <alignment horizontal="center"/>
    </xf>
    <xf numFmtId="165" fontId="0" fillId="9" borderId="0" xfId="2" applyNumberFormat="1" applyFont="1" applyFill="1" applyBorder="1" applyAlignment="1">
      <alignment horizontal="center"/>
    </xf>
    <xf numFmtId="0" fontId="0" fillId="9" borderId="0" xfId="0" applyFill="1" applyBorder="1" applyAlignment="1"/>
    <xf numFmtId="164" fontId="0" fillId="9" borderId="0" xfId="1" applyNumberFormat="1" applyFont="1" applyFill="1"/>
    <xf numFmtId="8" fontId="0" fillId="9" borderId="0" xfId="0" applyNumberFormat="1" applyFill="1"/>
    <xf numFmtId="6" fontId="0" fillId="9" borderId="0" xfId="0" applyNumberFormat="1" applyFill="1"/>
    <xf numFmtId="0" fontId="0" fillId="3" borderId="0" xfId="0" applyFill="1"/>
    <xf numFmtId="3" fontId="0" fillId="0" borderId="0" xfId="0" applyNumberForma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6" fontId="5" fillId="0" borderId="0" xfId="0" applyNumberFormat="1" applyFont="1"/>
    <xf numFmtId="0" fontId="5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Fill="1"/>
    <xf numFmtId="10" fontId="17" fillId="0" borderId="0" xfId="3" applyNumberFormat="1" applyFont="1"/>
    <xf numFmtId="10" fontId="17" fillId="0" borderId="0" xfId="0" applyNumberFormat="1" applyFont="1"/>
    <xf numFmtId="0" fontId="0" fillId="11" borderId="5" xfId="0" applyFill="1" applyBorder="1" applyAlignment="1"/>
    <xf numFmtId="9" fontId="0" fillId="0" borderId="0" xfId="3" applyFont="1" applyFill="1" applyBorder="1" applyAlignment="1">
      <alignment horizontal="center"/>
    </xf>
    <xf numFmtId="0" fontId="24" fillId="0" borderId="0" xfId="0" applyFont="1" applyFill="1" applyAlignment="1">
      <alignment horizontal="left"/>
    </xf>
    <xf numFmtId="43" fontId="17" fillId="0" borderId="0" xfId="1" applyFont="1"/>
    <xf numFmtId="43" fontId="17" fillId="0" borderId="0" xfId="1" applyFont="1" applyAlignment="1">
      <alignment horizontal="left" vertical="top"/>
    </xf>
    <xf numFmtId="0" fontId="25" fillId="0" borderId="0" xfId="0" applyFont="1" applyAlignment="1">
      <alignment horizontal="center" vertical="top"/>
    </xf>
    <xf numFmtId="0" fontId="0" fillId="0" borderId="0" xfId="0" applyBorder="1" applyAlignment="1">
      <alignment horizontal="center"/>
    </xf>
    <xf numFmtId="2" fontId="4" fillId="14" borderId="21" xfId="0" applyNumberFormat="1" applyFont="1" applyFill="1" applyBorder="1" applyAlignment="1">
      <alignment horizontal="center" vertical="center" wrapText="1"/>
    </xf>
    <xf numFmtId="2" fontId="4" fillId="14" borderId="14" xfId="0" applyNumberFormat="1" applyFont="1" applyFill="1" applyBorder="1" applyAlignment="1">
      <alignment horizontal="center" vertical="center" wrapText="1"/>
    </xf>
    <xf numFmtId="2" fontId="4" fillId="14" borderId="22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2" fontId="14" fillId="14" borderId="2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5" xr:uid="{8C05642A-5664-4D88-87B1-6919493F0BE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928687</xdr:colOff>
      <xdr:row>19</xdr:row>
      <xdr:rowOff>16383</xdr:rowOff>
    </xdr:from>
    <xdr:ext cx="5884124" cy="19708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3364D43-D9A9-4019-B0C2-97B5DD666929}"/>
            </a:ext>
          </a:extLst>
        </xdr:cNvPr>
        <xdr:cNvSpPr/>
      </xdr:nvSpPr>
      <xdr:spPr>
        <a:xfrm rot="20395701">
          <a:off x="5453062" y="4326446"/>
          <a:ext cx="5884124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12000" b="0" cap="none" spc="0">
            <a:ln w="0"/>
            <a:solidFill>
              <a:schemeClr val="bg1">
                <a:lumMod val="65000"/>
                <a:alpha val="39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3"/>
  <sheetViews>
    <sheetView workbookViewId="0">
      <selection activeCell="D4" sqref="D4"/>
    </sheetView>
  </sheetViews>
  <sheetFormatPr defaultRowHeight="15" x14ac:dyDescent="0.25"/>
  <cols>
    <col min="2" max="2" width="25.85546875" bestFit="1" customWidth="1"/>
    <col min="3" max="3" width="22.85546875" customWidth="1"/>
    <col min="4" max="4" width="12.140625" bestFit="1" customWidth="1"/>
    <col min="8" max="8" width="18.42578125" bestFit="1" customWidth="1"/>
  </cols>
  <sheetData>
    <row r="1" spans="2:8" ht="18.75" x14ac:dyDescent="0.3">
      <c r="B1" s="24" t="s">
        <v>42</v>
      </c>
      <c r="C1" s="24"/>
    </row>
    <row r="2" spans="2:8" ht="15.75" x14ac:dyDescent="0.25">
      <c r="B2" s="23" t="s">
        <v>144</v>
      </c>
    </row>
    <row r="3" spans="2:8" ht="15.75" x14ac:dyDescent="0.25">
      <c r="B3" s="23"/>
    </row>
    <row r="4" spans="2:8" x14ac:dyDescent="0.25">
      <c r="B4" s="30" t="s">
        <v>93</v>
      </c>
      <c r="C4" s="198">
        <v>2000000</v>
      </c>
      <c r="D4" s="203"/>
    </row>
    <row r="5" spans="2:8" x14ac:dyDescent="0.25">
      <c r="C5" s="9"/>
    </row>
    <row r="6" spans="2:8" x14ac:dyDescent="0.25">
      <c r="B6" s="30" t="s">
        <v>87</v>
      </c>
      <c r="C6" s="47">
        <f>IF(C4&lt;1000000,1860000/C4,18.45%)</f>
        <v>0.1845</v>
      </c>
    </row>
    <row r="7" spans="2:8" x14ac:dyDescent="0.25">
      <c r="B7" t="s">
        <v>35</v>
      </c>
      <c r="C7" s="34">
        <f>IF(C4&lt;1000000,30000/C4,C6*Floor!S12)</f>
        <v>5.3478260869565218E-3</v>
      </c>
      <c r="D7" s="6"/>
    </row>
    <row r="8" spans="2:8" x14ac:dyDescent="0.25">
      <c r="B8" t="s">
        <v>24</v>
      </c>
      <c r="C8" s="34">
        <f>C7*1.5</f>
        <v>8.0217391304347827E-3</v>
      </c>
      <c r="D8" s="6"/>
    </row>
    <row r="9" spans="2:8" x14ac:dyDescent="0.25">
      <c r="B9" t="s">
        <v>22</v>
      </c>
      <c r="C9" s="34">
        <f>C7*2</f>
        <v>1.0695652173913044E-2</v>
      </c>
      <c r="D9" s="6"/>
    </row>
    <row r="10" spans="2:8" hidden="1" x14ac:dyDescent="0.25">
      <c r="B10" t="s">
        <v>23</v>
      </c>
      <c r="C10" s="34">
        <v>0</v>
      </c>
      <c r="D10" s="205" t="s">
        <v>148</v>
      </c>
      <c r="E10" s="203"/>
      <c r="F10" s="203"/>
      <c r="G10" s="203"/>
      <c r="H10" s="203"/>
    </row>
    <row r="11" spans="2:8" hidden="1" x14ac:dyDescent="0.25">
      <c r="B11" t="s">
        <v>36</v>
      </c>
      <c r="C11" s="34">
        <v>0</v>
      </c>
      <c r="D11" s="205" t="s">
        <v>148</v>
      </c>
      <c r="E11" s="203"/>
      <c r="F11" s="203"/>
      <c r="G11" s="203"/>
      <c r="H11" s="203"/>
    </row>
    <row r="13" spans="2:8" x14ac:dyDescent="0.25">
      <c r="B13" s="30" t="s">
        <v>86</v>
      </c>
      <c r="C13" s="48">
        <f>1-C6-C24-C27</f>
        <v>0.8155</v>
      </c>
      <c r="D13" s="22">
        <f>SUM(D14:D21)-1</f>
        <v>0</v>
      </c>
    </row>
    <row r="14" spans="2:8" x14ac:dyDescent="0.25">
      <c r="B14" t="s">
        <v>25</v>
      </c>
      <c r="C14" s="34">
        <f>$C$13*D14</f>
        <v>0</v>
      </c>
      <c r="D14" s="50">
        <v>0</v>
      </c>
    </row>
    <row r="15" spans="2:8" x14ac:dyDescent="0.25">
      <c r="B15" t="s">
        <v>26</v>
      </c>
      <c r="C15" s="34">
        <f t="shared" ref="C15:C21" si="0">$C$13*D15</f>
        <v>0.13591666666666666</v>
      </c>
      <c r="D15" s="50">
        <f>1/6</f>
        <v>0.16666666666666666</v>
      </c>
      <c r="E15" s="203"/>
    </row>
    <row r="16" spans="2:8" x14ac:dyDescent="0.25">
      <c r="B16" t="s">
        <v>27</v>
      </c>
      <c r="C16" s="34">
        <f t="shared" si="0"/>
        <v>0.13591666666666666</v>
      </c>
      <c r="D16" s="50">
        <f>1/6</f>
        <v>0.16666666666666666</v>
      </c>
      <c r="E16" s="203"/>
    </row>
    <row r="17" spans="2:4" x14ac:dyDescent="0.25">
      <c r="B17" t="s">
        <v>28</v>
      </c>
      <c r="C17" s="34">
        <f t="shared" si="0"/>
        <v>0.13591666666666666</v>
      </c>
      <c r="D17" s="50">
        <f>1/6</f>
        <v>0.16666666666666666</v>
      </c>
    </row>
    <row r="18" spans="2:4" x14ac:dyDescent="0.25">
      <c r="B18" t="s">
        <v>85</v>
      </c>
      <c r="C18" s="34">
        <f t="shared" si="0"/>
        <v>0.13591666666666666</v>
      </c>
      <c r="D18" s="50">
        <f>1/6</f>
        <v>0.16666666666666666</v>
      </c>
    </row>
    <row r="19" spans="2:4" x14ac:dyDescent="0.25">
      <c r="B19" t="s">
        <v>29</v>
      </c>
      <c r="C19" s="34">
        <f t="shared" si="0"/>
        <v>6.7958333333333329E-2</v>
      </c>
      <c r="D19" s="50">
        <f>1/12</f>
        <v>8.3333333333333329E-2</v>
      </c>
    </row>
    <row r="20" spans="2:4" x14ac:dyDescent="0.25">
      <c r="B20" t="s">
        <v>38</v>
      </c>
      <c r="C20" s="34">
        <f t="shared" si="0"/>
        <v>6.7958333333333329E-2</v>
      </c>
      <c r="D20" s="50">
        <f>1/12</f>
        <v>8.3333333333333329E-2</v>
      </c>
    </row>
    <row r="21" spans="2:4" x14ac:dyDescent="0.25">
      <c r="B21" t="s">
        <v>30</v>
      </c>
      <c r="C21" s="34">
        <f t="shared" si="0"/>
        <v>0.13591666666666666</v>
      </c>
      <c r="D21" s="50">
        <f>1/6</f>
        <v>0.16666666666666666</v>
      </c>
    </row>
    <row r="22" spans="2:4" x14ac:dyDescent="0.25">
      <c r="C22" s="29"/>
      <c r="D22" s="22"/>
    </row>
    <row r="23" spans="2:4" x14ac:dyDescent="0.25">
      <c r="C23" s="29"/>
    </row>
    <row r="24" spans="2:4" x14ac:dyDescent="0.25">
      <c r="B24" s="30" t="s">
        <v>31</v>
      </c>
      <c r="C24" s="47">
        <v>0</v>
      </c>
    </row>
    <row r="25" spans="2:4" x14ac:dyDescent="0.25">
      <c r="B25" s="86" t="s">
        <v>111</v>
      </c>
      <c r="C25" s="87">
        <v>0</v>
      </c>
    </row>
    <row r="26" spans="2:4" x14ac:dyDescent="0.25">
      <c r="B26" s="30"/>
      <c r="C26" s="85"/>
    </row>
    <row r="27" spans="2:4" x14ac:dyDescent="0.25">
      <c r="B27" s="30" t="s">
        <v>32</v>
      </c>
      <c r="C27" s="47">
        <v>0</v>
      </c>
    </row>
    <row r="28" spans="2:4" x14ac:dyDescent="0.25">
      <c r="B28" s="88" t="s">
        <v>112</v>
      </c>
      <c r="C28" s="87">
        <v>0</v>
      </c>
    </row>
    <row r="29" spans="2:4" x14ac:dyDescent="0.25">
      <c r="B29" s="30"/>
      <c r="C29" s="85"/>
    </row>
    <row r="30" spans="2:4" x14ac:dyDescent="0.25">
      <c r="B30" s="68" t="s">
        <v>101</v>
      </c>
      <c r="C30" s="34">
        <f>$C$27*D30</f>
        <v>0</v>
      </c>
      <c r="D30" s="50">
        <v>0</v>
      </c>
    </row>
    <row r="31" spans="2:4" x14ac:dyDescent="0.25">
      <c r="B31" s="68" t="s">
        <v>102</v>
      </c>
      <c r="C31" s="34">
        <f t="shared" ref="C31:C33" si="1">$C$27*D31</f>
        <v>0</v>
      </c>
      <c r="D31" s="50">
        <v>0</v>
      </c>
    </row>
    <row r="32" spans="2:4" x14ac:dyDescent="0.25">
      <c r="B32" s="68" t="s">
        <v>103</v>
      </c>
      <c r="C32" s="34">
        <f t="shared" si="1"/>
        <v>0</v>
      </c>
      <c r="D32" s="50">
        <v>0</v>
      </c>
    </row>
    <row r="33" spans="2:4" x14ac:dyDescent="0.25">
      <c r="B33" s="68" t="s">
        <v>104</v>
      </c>
      <c r="C33" s="34">
        <f t="shared" si="1"/>
        <v>0</v>
      </c>
      <c r="D33" s="50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2000000</v>
      </c>
    </row>
    <row r="4" spans="2:8" x14ac:dyDescent="0.25">
      <c r="B4" t="s">
        <v>41</v>
      </c>
      <c r="C4" s="14">
        <f>'County Data'!H9</f>
        <v>135916.66666666666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Data'!$B$12</f>
        <v>Clackamas</v>
      </c>
      <c r="C7" s="15">
        <f>VLOOKUP($B7,'County Data'!$B$10:$L$46,2,FALSE)</f>
        <v>0</v>
      </c>
      <c r="D7" s="29">
        <f>VLOOKUP($B7,'County Data'!$B$10:$L$46,7,FALSE)</f>
        <v>0.13811687940583775</v>
      </c>
      <c r="E7" s="31">
        <f t="shared" ref="E7:E40" si="0">C7*D7</f>
        <v>0</v>
      </c>
      <c r="F7" s="6">
        <f t="shared" ref="F7:F40" si="1">E7/$E$41</f>
        <v>0</v>
      </c>
      <c r="G7" s="14">
        <f t="shared" ref="G7:G40" si="2">$C$4*F7</f>
        <v>0</v>
      </c>
      <c r="H7" s="10" t="e">
        <f t="shared" ref="H7:H40" si="3">G7/C7</f>
        <v>#DIV/0!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0</v>
      </c>
      <c r="D8" s="29">
        <f>VLOOKUP($B8,'County Data'!$B$10:$L$46,7,FALSE)</f>
        <v>0.16330220782308263</v>
      </c>
      <c r="E8" s="31">
        <f t="shared" si="0"/>
        <v>0</v>
      </c>
      <c r="F8" s="6">
        <f t="shared" si="1"/>
        <v>0</v>
      </c>
      <c r="G8" s="14">
        <f t="shared" si="2"/>
        <v>0</v>
      </c>
      <c r="H8" s="10" t="e">
        <f t="shared" si="3"/>
        <v>#DIV/0!</v>
      </c>
    </row>
    <row r="9" spans="2:8" x14ac:dyDescent="0.25">
      <c r="B9" s="20" t="str">
        <f>+'County Data'!$B$18</f>
        <v>Deschutes</v>
      </c>
      <c r="C9" s="15">
        <f>VLOOKUP($B9,'County Data'!$B$10:$L$46,2,FALSE)</f>
        <v>0</v>
      </c>
      <c r="D9" s="29">
        <f>VLOOKUP($B9,'County Data'!$B$10:$L$46,7,FALSE)</f>
        <v>0.18767801513128615</v>
      </c>
      <c r="E9" s="31">
        <f t="shared" si="0"/>
        <v>0</v>
      </c>
      <c r="F9" s="6">
        <f t="shared" si="1"/>
        <v>0</v>
      </c>
      <c r="G9" s="14">
        <f t="shared" si="2"/>
        <v>0</v>
      </c>
      <c r="H9" s="10" t="e">
        <f t="shared" si="3"/>
        <v>#DIV/0!</v>
      </c>
    </row>
    <row r="10" spans="2:8" x14ac:dyDescent="0.25">
      <c r="B10" s="20" t="str">
        <f>+'County Data'!$B$14</f>
        <v>Columbia</v>
      </c>
      <c r="C10" s="15">
        <f>VLOOKUP($B10,'County Data'!$B$10:$L$46,2,FALSE)</f>
        <v>53280</v>
      </c>
      <c r="D10" s="29">
        <f>VLOOKUP($B10,'County Data'!$B$10:$L$46,7,FALSE)</f>
        <v>0.21043750992536128</v>
      </c>
      <c r="E10" s="31">
        <f t="shared" si="0"/>
        <v>11212.110528823248</v>
      </c>
      <c r="F10" s="6">
        <f t="shared" si="1"/>
        <v>4.3529794975711654E-2</v>
      </c>
      <c r="G10" s="14">
        <f t="shared" si="2"/>
        <v>5916.4246337821414</v>
      </c>
      <c r="H10" s="10">
        <f t="shared" si="3"/>
        <v>0.11104400588930445</v>
      </c>
    </row>
    <row r="11" spans="2:8" x14ac:dyDescent="0.25">
      <c r="B11" s="20" t="str">
        <f>+'County Data'!$B$37</f>
        <v>Polk</v>
      </c>
      <c r="C11" s="15">
        <f>VLOOKUP($B11,'County Data'!$B$10:$L$46,2,FALSE)</f>
        <v>83805</v>
      </c>
      <c r="D11" s="29">
        <f>VLOOKUP($B11,'County Data'!$B$10:$L$46,7,FALSE)</f>
        <v>0.23463420155701728</v>
      </c>
      <c r="E11" s="31">
        <f t="shared" si="0"/>
        <v>19663.519261485832</v>
      </c>
      <c r="F11" s="6">
        <f t="shared" si="1"/>
        <v>7.6341466644752221E-2</v>
      </c>
      <c r="G11" s="14">
        <f t="shared" si="2"/>
        <v>10376.077674799239</v>
      </c>
      <c r="H11" s="10">
        <f t="shared" si="3"/>
        <v>0.12381215529860078</v>
      </c>
    </row>
    <row r="12" spans="2:8" x14ac:dyDescent="0.25">
      <c r="B12" s="20" t="str">
        <f>+'County Data'!$B$23</f>
        <v>Hood River</v>
      </c>
      <c r="C12" s="15">
        <f>VLOOKUP($B12,'County Data'!$B$10:$L$46,2,FALSE)</f>
        <v>25640</v>
      </c>
      <c r="D12" s="29">
        <f>VLOOKUP($B12,'County Data'!$B$10:$L$46,7,FALSE)</f>
        <v>0.2071000743234381</v>
      </c>
      <c r="E12" s="31">
        <f t="shared" si="0"/>
        <v>5310.0459056529526</v>
      </c>
      <c r="F12" s="6">
        <f t="shared" si="1"/>
        <v>2.0615673471152417E-2</v>
      </c>
      <c r="G12" s="14">
        <f t="shared" si="2"/>
        <v>2802.0136192874656</v>
      </c>
      <c r="H12" s="10">
        <f t="shared" si="3"/>
        <v>0.10928290246830989</v>
      </c>
    </row>
    <row r="13" spans="2:8" x14ac:dyDescent="0.25">
      <c r="B13" s="20" t="str">
        <f>+'County Data'!$B$46</f>
        <v>Yamhill</v>
      </c>
      <c r="C13" s="15">
        <f>VLOOKUP($B13,'County Data'!$B$10:$L$46,2,FALSE)</f>
        <v>108605</v>
      </c>
      <c r="D13" s="29">
        <f>VLOOKUP($B13,'County Data'!$B$10:$L$46,7,FALSE)</f>
        <v>0.21567317522496532</v>
      </c>
      <c r="E13" s="31">
        <f t="shared" si="0"/>
        <v>23423.18519530736</v>
      </c>
      <c r="F13" s="6">
        <f t="shared" si="1"/>
        <v>9.0937959147720362E-2</v>
      </c>
      <c r="G13" s="14">
        <f t="shared" si="2"/>
        <v>12359.984280827659</v>
      </c>
      <c r="H13" s="10">
        <f t="shared" si="3"/>
        <v>0.11380677022998627</v>
      </c>
    </row>
    <row r="14" spans="2:8" x14ac:dyDescent="0.25">
      <c r="B14" s="20" t="str">
        <f>+'County Data'!$B$35</f>
        <v>Multnomah</v>
      </c>
      <c r="C14" s="15">
        <f>VLOOKUP($B14,'County Data'!$B$10:$L$46,2,FALSE)</f>
        <v>0</v>
      </c>
      <c r="D14" s="29">
        <f>VLOOKUP($B14,'County Data'!$B$10:$L$46,7,FALSE)</f>
        <v>0.23381795591069882</v>
      </c>
      <c r="E14" s="31">
        <f t="shared" si="0"/>
        <v>0</v>
      </c>
      <c r="F14" s="6">
        <f t="shared" si="1"/>
        <v>0</v>
      </c>
      <c r="G14" s="14">
        <f t="shared" si="2"/>
        <v>0</v>
      </c>
      <c r="H14" s="10" t="e">
        <f t="shared" si="3"/>
        <v>#DIV/0!</v>
      </c>
    </row>
    <row r="15" spans="2:8" x14ac:dyDescent="0.25">
      <c r="B15" s="20" t="str">
        <f>+'County Data'!$B$42</f>
        <v>Wallowa</v>
      </c>
      <c r="C15" s="15">
        <f>VLOOKUP($B15,'County Data'!$B$10:$L$46,2,FALSE)</f>
        <v>0</v>
      </c>
      <c r="D15" s="29">
        <f>VLOOKUP($B15,'County Data'!$B$10:$L$46,7,FALSE)</f>
        <v>0.25040316669110102</v>
      </c>
      <c r="E15" s="31">
        <f t="shared" si="0"/>
        <v>0</v>
      </c>
      <c r="F15" s="6">
        <f t="shared" si="1"/>
        <v>0</v>
      </c>
      <c r="G15" s="14">
        <f t="shared" si="2"/>
        <v>0</v>
      </c>
      <c r="H15" s="10" t="e">
        <f t="shared" si="3"/>
        <v>#DIV/0!</v>
      </c>
    </row>
    <row r="16" spans="2:8" x14ac:dyDescent="0.25">
      <c r="B16" s="20" t="str">
        <f>+'County Data'!$B$13</f>
        <v>Clatsop</v>
      </c>
      <c r="C16" s="15">
        <f>VLOOKUP($B16,'County Data'!$B$10:$L$46,2,FALSE)</f>
        <v>39455</v>
      </c>
      <c r="D16" s="29">
        <f>VLOOKUP($B16,'County Data'!$B$10:$L$46,7,FALSE)</f>
        <v>0.22943563260789376</v>
      </c>
      <c r="E16" s="31">
        <f t="shared" si="0"/>
        <v>9052.3828845444477</v>
      </c>
      <c r="F16" s="6">
        <f t="shared" si="1"/>
        <v>3.5144888198601967E-2</v>
      </c>
      <c r="G16" s="14">
        <f t="shared" si="2"/>
        <v>4776.7760543266504</v>
      </c>
      <c r="H16" s="10">
        <f t="shared" si="3"/>
        <v>0.12106896602019136</v>
      </c>
    </row>
    <row r="17" spans="2:8" x14ac:dyDescent="0.25">
      <c r="B17" s="20" t="str">
        <f>+'County Data'!$B$36</f>
        <v>Gilliam, Sherman, Wasco</v>
      </c>
      <c r="C17" s="15">
        <f>VLOOKUP($B17,'County Data'!$B$10:$L$46,2,FALSE)</f>
        <v>31080</v>
      </c>
      <c r="D17" s="29">
        <f>VLOOKUP($B17,'County Data'!$B$10:$L$46,7,FALSE)</f>
        <v>0.23854671280276818</v>
      </c>
      <c r="E17" s="31">
        <f t="shared" si="0"/>
        <v>7414.0318339100349</v>
      </c>
      <c r="F17" s="6">
        <f t="shared" si="1"/>
        <v>2.8784169121759014E-2</v>
      </c>
      <c r="G17" s="14">
        <f t="shared" si="2"/>
        <v>3912.2483197990791</v>
      </c>
      <c r="H17" s="10">
        <f t="shared" si="3"/>
        <v>0.12587671556625094</v>
      </c>
    </row>
    <row r="18" spans="2:8" x14ac:dyDescent="0.25">
      <c r="B18" s="20" t="str">
        <f>+'County Data'!$B$34</f>
        <v>Morrow</v>
      </c>
      <c r="C18" s="15">
        <f>VLOOKUP($B18,'County Data'!$B$10:$L$46,2,FALSE)</f>
        <v>12825</v>
      </c>
      <c r="D18" s="29">
        <f>VLOOKUP($B18,'County Data'!$B$10:$L$46,7,FALSE)</f>
        <v>0.29377013963480131</v>
      </c>
      <c r="E18" s="31">
        <f t="shared" si="0"/>
        <v>3767.6020408163267</v>
      </c>
      <c r="F18" s="6">
        <f t="shared" si="1"/>
        <v>1.4627303571901213E-2</v>
      </c>
      <c r="G18" s="14">
        <f t="shared" si="2"/>
        <v>1988.0943438142397</v>
      </c>
      <c r="H18" s="10">
        <f t="shared" si="3"/>
        <v>0.15501710283151965</v>
      </c>
    </row>
    <row r="19" spans="2:8" x14ac:dyDescent="0.25">
      <c r="B19" s="20" t="str">
        <f>+'County Data'!$B$39</f>
        <v>Tillamook</v>
      </c>
      <c r="C19" s="15">
        <f>VLOOKUP($B19,'County Data'!$B$10:$L$46,2,FALSE)</f>
        <v>26530</v>
      </c>
      <c r="D19" s="29">
        <f>VLOOKUP($B19,'County Data'!$B$10:$L$46,7,FALSE)</f>
        <v>0.25437453094758461</v>
      </c>
      <c r="E19" s="31">
        <f t="shared" si="0"/>
        <v>6748.5563060394197</v>
      </c>
      <c r="F19" s="6">
        <f t="shared" si="1"/>
        <v>2.6200533042263316E-2</v>
      </c>
      <c r="G19" s="14">
        <f t="shared" si="2"/>
        <v>3561.0891159942889</v>
      </c>
      <c r="H19" s="10">
        <f t="shared" si="3"/>
        <v>0.13422876426665242</v>
      </c>
    </row>
    <row r="20" spans="2:8" x14ac:dyDescent="0.25">
      <c r="B20" s="20" t="str">
        <f>+'County Data'!$B$10</f>
        <v>Baker</v>
      </c>
      <c r="C20" s="15">
        <f>VLOOKUP($B20,'County Data'!$B$10:$L$46,2,FALSE)</f>
        <v>16910</v>
      </c>
      <c r="D20" s="29">
        <f>VLOOKUP($B20,'County Data'!$B$10:$L$46,7,FALSE)</f>
        <v>0.26671850699844479</v>
      </c>
      <c r="E20" s="31">
        <f t="shared" si="0"/>
        <v>4510.2099533437013</v>
      </c>
      <c r="F20" s="6">
        <f t="shared" si="1"/>
        <v>1.751039771341522E-2</v>
      </c>
      <c r="G20" s="14">
        <f t="shared" si="2"/>
        <v>2379.9548892150183</v>
      </c>
      <c r="H20" s="10">
        <f t="shared" si="3"/>
        <v>0.14074245353134349</v>
      </c>
    </row>
    <row r="21" spans="2:8" x14ac:dyDescent="0.25">
      <c r="B21" s="20" t="str">
        <f>+'County Data'!$B$17</f>
        <v>Curry</v>
      </c>
      <c r="C21" s="15">
        <f>VLOOKUP($B21,'County Data'!$B$10:$L$46,2,FALSE)</f>
        <v>0</v>
      </c>
      <c r="D21" s="29">
        <f>VLOOKUP($B21,'County Data'!$B$10:$L$46,7,FALSE)</f>
        <v>0.24108864278348205</v>
      </c>
      <c r="E21" s="31">
        <f t="shared" si="0"/>
        <v>0</v>
      </c>
      <c r="F21" s="6">
        <f t="shared" si="1"/>
        <v>0</v>
      </c>
      <c r="G21" s="14">
        <f t="shared" si="2"/>
        <v>0</v>
      </c>
      <c r="H21" s="10" t="e">
        <f t="shared" si="3"/>
        <v>#DIV/0!</v>
      </c>
    </row>
    <row r="22" spans="2:8" x14ac:dyDescent="0.25">
      <c r="B22" s="20" t="str">
        <f>+'County Data'!$B$31</f>
        <v>Linn</v>
      </c>
      <c r="C22" s="15">
        <f>VLOOKUP($B22,'County Data'!$B$10:$L$46,2,FALSE)</f>
        <v>0</v>
      </c>
      <c r="D22" s="29">
        <f>VLOOKUP($B22,'County Data'!$B$10:$L$46,7,FALSE)</f>
        <v>0.25578581775085596</v>
      </c>
      <c r="E22" s="31">
        <f t="shared" si="0"/>
        <v>0</v>
      </c>
      <c r="F22" s="6">
        <f t="shared" si="1"/>
        <v>0</v>
      </c>
      <c r="G22" s="14">
        <f t="shared" si="2"/>
        <v>0</v>
      </c>
      <c r="H22" s="10" t="e">
        <f t="shared" si="3"/>
        <v>#DIV/0!</v>
      </c>
    </row>
    <row r="23" spans="2:8" x14ac:dyDescent="0.25">
      <c r="B23" s="20" t="str">
        <f>+'County Data'!$B$22</f>
        <v>Harney</v>
      </c>
      <c r="C23" s="15">
        <f>VLOOKUP($B23,'County Data'!$B$10:$L$46,2,FALSE)</f>
        <v>7280</v>
      </c>
      <c r="D23" s="29">
        <f>VLOOKUP($B23,'County Data'!$B$10:$L$46,7,FALSE)</f>
        <v>0.27595435976898153</v>
      </c>
      <c r="E23" s="31">
        <f t="shared" si="0"/>
        <v>2008.9477391181856</v>
      </c>
      <c r="F23" s="6">
        <f t="shared" si="1"/>
        <v>7.7995202576648321E-3</v>
      </c>
      <c r="G23" s="14">
        <f t="shared" si="2"/>
        <v>1060.084795020945</v>
      </c>
      <c r="H23" s="10">
        <f t="shared" si="3"/>
        <v>0.14561604327210784</v>
      </c>
    </row>
    <row r="24" spans="2:8" x14ac:dyDescent="0.25">
      <c r="B24" s="20" t="str">
        <f>+'County Data'!$B$21</f>
        <v>Grant</v>
      </c>
      <c r="C24" s="15">
        <f>VLOOKUP($B24,'County Data'!$B$10:$L$46,2,FALSE)</f>
        <v>7315</v>
      </c>
      <c r="D24" s="29">
        <f>VLOOKUP($B24,'County Data'!$B$10:$L$46,7,FALSE)</f>
        <v>0.27554486272289841</v>
      </c>
      <c r="E24" s="31">
        <f t="shared" si="0"/>
        <v>2015.6106708180018</v>
      </c>
      <c r="F24" s="6">
        <f t="shared" si="1"/>
        <v>7.8253883625220375E-3</v>
      </c>
      <c r="G24" s="14">
        <f t="shared" si="2"/>
        <v>1063.6007016061201</v>
      </c>
      <c r="H24" s="10">
        <f t="shared" si="3"/>
        <v>0.14539995920794532</v>
      </c>
    </row>
    <row r="25" spans="2:8" x14ac:dyDescent="0.25">
      <c r="B25" s="20" t="str">
        <f>+'County Data'!$B$19</f>
        <v>Douglas</v>
      </c>
      <c r="C25" s="15">
        <f>VLOOKUP($B25,'County Data'!$B$10:$L$46,2,FALSE)</f>
        <v>112530</v>
      </c>
      <c r="D25" s="29">
        <f>VLOOKUP($B25,'County Data'!$B$10:$L$46,7,FALSE)</f>
        <v>0.27764111677500819</v>
      </c>
      <c r="E25" s="31">
        <f t="shared" si="0"/>
        <v>31242.954870691672</v>
      </c>
      <c r="F25" s="6">
        <f t="shared" si="1"/>
        <v>0.12129736114003124</v>
      </c>
      <c r="G25" s="14">
        <f t="shared" si="2"/>
        <v>16486.333001615913</v>
      </c>
      <c r="H25" s="10">
        <f t="shared" si="3"/>
        <v>0.14650611393953536</v>
      </c>
    </row>
    <row r="26" spans="2:8" x14ac:dyDescent="0.25">
      <c r="B26" s="20" t="str">
        <f>+'County Data'!$B$24</f>
        <v>Jackson</v>
      </c>
      <c r="C26" s="15">
        <f>VLOOKUP($B26,'County Data'!$B$10:$L$46,2,FALSE)</f>
        <v>0</v>
      </c>
      <c r="D26" s="29">
        <f>VLOOKUP($B26,'County Data'!$B$10:$L$46,7,FALSE)</f>
        <v>0.26824137573224915</v>
      </c>
      <c r="E26" s="31">
        <f t="shared" si="0"/>
        <v>0</v>
      </c>
      <c r="F26" s="6">
        <f t="shared" si="1"/>
        <v>0</v>
      </c>
      <c r="G26" s="14">
        <f t="shared" si="2"/>
        <v>0</v>
      </c>
      <c r="H26" s="10" t="e">
        <f t="shared" si="3"/>
        <v>#DIV/0!</v>
      </c>
    </row>
    <row r="27" spans="2:8" x14ac:dyDescent="0.25">
      <c r="B27" s="20" t="str">
        <f>+'County Data'!$B$33</f>
        <v>Marion</v>
      </c>
      <c r="C27" s="15">
        <f>VLOOKUP($B27,'County Data'!$B$10:$L$46,2,FALSE)</f>
        <v>0</v>
      </c>
      <c r="D27" s="29">
        <f>VLOOKUP($B27,'County Data'!$B$10:$L$46,7,FALSE)</f>
        <v>0.27417406553517121</v>
      </c>
      <c r="E27" s="31">
        <f t="shared" si="0"/>
        <v>0</v>
      </c>
      <c r="F27" s="6">
        <f t="shared" si="1"/>
        <v>0</v>
      </c>
      <c r="G27" s="14">
        <f t="shared" si="2"/>
        <v>0</v>
      </c>
      <c r="H27" s="10" t="e">
        <f t="shared" si="3"/>
        <v>#DIV/0!</v>
      </c>
    </row>
    <row r="28" spans="2:8" x14ac:dyDescent="0.25">
      <c r="B28" s="20" t="str">
        <f>+'County Data'!$B$40</f>
        <v>Umatilla</v>
      </c>
      <c r="C28" s="15">
        <f>VLOOKUP($B28,'County Data'!$B$10:$L$46,2,FALSE)</f>
        <v>81495</v>
      </c>
      <c r="D28" s="29">
        <f>VLOOKUP($B28,'County Data'!$B$10:$L$46,7,FALSE)</f>
        <v>0.2947186267045061</v>
      </c>
      <c r="E28" s="31">
        <f t="shared" si="0"/>
        <v>24018.094483283727</v>
      </c>
      <c r="F28" s="6">
        <f t="shared" si="1"/>
        <v>9.3247629505338187E-2</v>
      </c>
      <c r="G28" s="14">
        <f t="shared" si="2"/>
        <v>12673.90697693388</v>
      </c>
      <c r="H28" s="10">
        <f t="shared" si="3"/>
        <v>0.15551760202385276</v>
      </c>
    </row>
    <row r="29" spans="2:8" x14ac:dyDescent="0.25">
      <c r="B29" s="20" t="str">
        <f>+'County Data'!$B$30</f>
        <v>Lincoln</v>
      </c>
      <c r="C29" s="15">
        <f>VLOOKUP($B29,'County Data'!$B$10:$L$46,2,FALSE)</f>
        <v>0</v>
      </c>
      <c r="D29" s="29">
        <f>VLOOKUP($B29,'County Data'!$B$10:$L$46,7,FALSE)</f>
        <v>0.28095601322145947</v>
      </c>
      <c r="E29" s="31">
        <f t="shared" si="0"/>
        <v>0</v>
      </c>
      <c r="F29" s="6">
        <f t="shared" si="1"/>
        <v>0</v>
      </c>
      <c r="G29" s="14">
        <f t="shared" si="2"/>
        <v>0</v>
      </c>
      <c r="H29" s="10" t="e">
        <f t="shared" si="3"/>
        <v>#DIV/0!</v>
      </c>
    </row>
    <row r="30" spans="2:8" x14ac:dyDescent="0.25">
      <c r="B30" s="20" t="str">
        <f>+'County Data'!$B$11</f>
        <v>Benton</v>
      </c>
      <c r="C30" s="15">
        <f>VLOOKUP($B30,'County Data'!$B$10:$L$46,2,FALSE)</f>
        <v>0</v>
      </c>
      <c r="D30" s="29">
        <f>VLOOKUP($B30,'County Data'!$B$10:$L$46,7,FALSE)</f>
        <v>0.2787920514707628</v>
      </c>
      <c r="E30" s="31">
        <f t="shared" si="0"/>
        <v>0</v>
      </c>
      <c r="F30" s="6">
        <f t="shared" si="1"/>
        <v>0</v>
      </c>
      <c r="G30" s="14">
        <f t="shared" si="2"/>
        <v>0</v>
      </c>
      <c r="H30" s="10" t="e">
        <f t="shared" si="3"/>
        <v>#DIV/0!</v>
      </c>
    </row>
    <row r="31" spans="2:8" x14ac:dyDescent="0.25">
      <c r="B31" s="20" t="str">
        <f>+'County Data'!$B$29</f>
        <v>Lane</v>
      </c>
      <c r="C31" s="15">
        <f>VLOOKUP($B31,'County Data'!$B$10:$L$46,2,FALSE)</f>
        <v>0</v>
      </c>
      <c r="D31" s="29">
        <f>VLOOKUP($B31,'County Data'!$B$10:$L$46,7,FALSE)</f>
        <v>0.28730761886047818</v>
      </c>
      <c r="E31" s="31">
        <f t="shared" si="0"/>
        <v>0</v>
      </c>
      <c r="F31" s="6">
        <f t="shared" si="1"/>
        <v>0</v>
      </c>
      <c r="G31" s="14">
        <f t="shared" si="2"/>
        <v>0</v>
      </c>
      <c r="H31" s="10" t="e">
        <f t="shared" si="3"/>
        <v>#DIV/0!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Data'!$B$10:$L$46,7,FALSE)</f>
        <v>0.26902958152958151</v>
      </c>
      <c r="E32" s="31">
        <f t="shared" si="0"/>
        <v>6306.0533910533904</v>
      </c>
      <c r="F32" s="6">
        <f t="shared" si="1"/>
        <v>2.4482563787859412E-2</v>
      </c>
      <c r="G32" s="14">
        <f t="shared" si="2"/>
        <v>3327.5884614998913</v>
      </c>
      <c r="H32" s="10">
        <f t="shared" si="3"/>
        <v>0.14196196508105338</v>
      </c>
    </row>
    <row r="33" spans="2:8" x14ac:dyDescent="0.25">
      <c r="B33" s="20" t="str">
        <f>+'County Data'!$B$25</f>
        <v>Jefferson</v>
      </c>
      <c r="C33" s="15">
        <f>VLOOKUP($B33,'County Data'!$B$10:$L$46,2,FALSE)</f>
        <v>24105</v>
      </c>
      <c r="D33" s="29">
        <f>VLOOKUP($B33,'County Data'!$B$10:$L$46,7,FALSE)</f>
        <v>0.30349789583239062</v>
      </c>
      <c r="E33" s="31">
        <f t="shared" si="0"/>
        <v>7315.8167790397756</v>
      </c>
      <c r="F33" s="6">
        <f t="shared" si="1"/>
        <v>2.8402859894469463E-2</v>
      </c>
      <c r="G33" s="14">
        <f t="shared" si="2"/>
        <v>3860.422040656641</v>
      </c>
      <c r="H33" s="10">
        <f t="shared" si="3"/>
        <v>0.16015026096895421</v>
      </c>
    </row>
    <row r="34" spans="2:8" x14ac:dyDescent="0.25">
      <c r="B34" s="20" t="str">
        <f>+'County Data'!$B$15</f>
        <v>Coos</v>
      </c>
      <c r="C34" s="15">
        <f>VLOOKUP($B34,'County Data'!$B$10:$L$46,2,FALSE)</f>
        <v>63315</v>
      </c>
      <c r="D34" s="29">
        <f>VLOOKUP($B34,'County Data'!$B$10:$L$46,7,FALSE)</f>
        <v>0.29889760747123673</v>
      </c>
      <c r="E34" s="31">
        <f t="shared" si="0"/>
        <v>18924.702017041353</v>
      </c>
      <c r="F34" s="6">
        <f t="shared" si="1"/>
        <v>7.3473089358200114E-2</v>
      </c>
      <c r="G34" s="14">
        <f t="shared" si="2"/>
        <v>9986.217395268699</v>
      </c>
      <c r="H34" s="10">
        <f t="shared" si="3"/>
        <v>0.15772277335968884</v>
      </c>
    </row>
    <row r="35" spans="2:8" x14ac:dyDescent="0.25">
      <c r="B35" s="20" t="str">
        <f>+'County Data'!$B$27</f>
        <v>Klamath</v>
      </c>
      <c r="C35" s="15">
        <f>VLOOKUP($B35,'County Data'!$B$10:$L$46,2,FALSE)</f>
        <v>68075</v>
      </c>
      <c r="D35" s="29">
        <f>VLOOKUP($B35,'County Data'!$B$10:$L$46,7,FALSE)</f>
        <v>0.33197549770290963</v>
      </c>
      <c r="E35" s="31">
        <f t="shared" si="0"/>
        <v>22599.232006125574</v>
      </c>
      <c r="F35" s="6">
        <f t="shared" si="1"/>
        <v>8.7739050850976052E-2</v>
      </c>
      <c r="G35" s="14">
        <f t="shared" si="2"/>
        <v>11925.199328161827</v>
      </c>
      <c r="H35" s="10">
        <f t="shared" si="3"/>
        <v>0.17517736802294273</v>
      </c>
    </row>
    <row r="36" spans="2:8" x14ac:dyDescent="0.25">
      <c r="B36" s="20" t="str">
        <f>'County Data'!$B$45</f>
        <v>Wheeler</v>
      </c>
      <c r="C36" s="15">
        <f>VLOOKUP($B36,'County Data'!$B$10:$L$46,2,FALSE)</f>
        <v>1440</v>
      </c>
      <c r="D36" s="29">
        <f>VLOOKUP($B36,'County Data'!$B$10:$L$46,7,FALSE)</f>
        <v>0.3383084577114428</v>
      </c>
      <c r="E36" s="31">
        <f t="shared" si="0"/>
        <v>487.16417910447763</v>
      </c>
      <c r="F36" s="6">
        <f t="shared" si="1"/>
        <v>1.8913617361703305E-3</v>
      </c>
      <c r="G36" s="14">
        <f t="shared" si="2"/>
        <v>257.06758264115075</v>
      </c>
      <c r="H36" s="10">
        <f t="shared" si="3"/>
        <v>0.17851915461191023</v>
      </c>
    </row>
    <row r="37" spans="2:8" x14ac:dyDescent="0.25">
      <c r="B37" s="20" t="str">
        <f>+'County Data'!$B$41</f>
        <v>Union</v>
      </c>
      <c r="C37" s="15">
        <f>VLOOKUP($B37,'County Data'!$B$10:$L$46,2,FALSE)</f>
        <v>26840</v>
      </c>
      <c r="D37" s="29">
        <f>VLOOKUP($B37,'County Data'!$B$10:$L$46,7,FALSE)</f>
        <v>0.30462135000395663</v>
      </c>
      <c r="E37" s="31">
        <f t="shared" si="0"/>
        <v>8176.0370341061962</v>
      </c>
      <c r="F37" s="6">
        <f t="shared" si="1"/>
        <v>3.1742571114826625E-2</v>
      </c>
      <c r="G37" s="14">
        <f t="shared" si="2"/>
        <v>4314.3444573568513</v>
      </c>
      <c r="H37" s="10">
        <f t="shared" si="3"/>
        <v>0.16074308708483054</v>
      </c>
    </row>
    <row r="38" spans="2:8" x14ac:dyDescent="0.25">
      <c r="B38" s="20" t="str">
        <f>+'County Data'!$B$28</f>
        <v>Lake</v>
      </c>
      <c r="C38" s="15">
        <f>VLOOKUP($B38,'County Data'!$B$10:$L$46,2,FALSE)</f>
        <v>8075</v>
      </c>
      <c r="D38" s="29">
        <f>VLOOKUP($B38,'County Data'!$B$10:$L$46,7,FALSE)</f>
        <v>0.32648275862068965</v>
      </c>
      <c r="E38" s="31">
        <f t="shared" si="0"/>
        <v>2636.3482758620689</v>
      </c>
      <c r="F38" s="6">
        <f t="shared" si="1"/>
        <v>1.0235334341186807E-2</v>
      </c>
      <c r="G38" s="14">
        <f t="shared" si="2"/>
        <v>1391.1525258729735</v>
      </c>
      <c r="H38" s="10">
        <f t="shared" si="3"/>
        <v>0.17227895057250445</v>
      </c>
    </row>
    <row r="39" spans="2:8" x14ac:dyDescent="0.25">
      <c r="B39" s="20" t="str">
        <f>+'County Data'!$B$26</f>
        <v>Josephine</v>
      </c>
      <c r="C39" s="15">
        <f>VLOOKUP($B39,'County Data'!$B$10:$L$46,2,FALSE)</f>
        <v>86560</v>
      </c>
      <c r="D39" s="29">
        <f>VLOOKUP($B39,'County Data'!$B$10:$L$46,7,FALSE)</f>
        <v>0.33520512729383611</v>
      </c>
      <c r="E39" s="31">
        <f t="shared" si="0"/>
        <v>29015.355818554453</v>
      </c>
      <c r="F39" s="6">
        <f t="shared" si="1"/>
        <v>0.11264895103219763</v>
      </c>
      <c r="G39" s="14">
        <f t="shared" si="2"/>
        <v>15310.869927792861</v>
      </c>
      <c r="H39" s="10">
        <f t="shared" si="3"/>
        <v>0.17688158419354044</v>
      </c>
    </row>
    <row r="40" spans="2:8" x14ac:dyDescent="0.25">
      <c r="B40" s="20" t="str">
        <f>+'County Data'!$B$32</f>
        <v>Malheur</v>
      </c>
      <c r="C40" s="15">
        <f>VLOOKUP($B40,'County Data'!$B$10:$L$46,2,FALSE)</f>
        <v>32105</v>
      </c>
      <c r="D40" s="29">
        <f>VLOOKUP($B40,'County Data'!$B$10:$L$46,7,FALSE)</f>
        <v>0.36521673972500096</v>
      </c>
      <c r="E40" s="31">
        <f t="shared" si="0"/>
        <v>11725.283428871157</v>
      </c>
      <c r="F40" s="6">
        <f t="shared" si="1"/>
        <v>4.5522132731279717E-2</v>
      </c>
      <c r="G40" s="14">
        <f t="shared" si="2"/>
        <v>6187.2165403931012</v>
      </c>
      <c r="H40" s="10">
        <f t="shared" si="3"/>
        <v>0.19271816042339515</v>
      </c>
    </row>
    <row r="41" spans="2:8" x14ac:dyDescent="0.25">
      <c r="B41" s="4" t="s">
        <v>2</v>
      </c>
      <c r="C41" s="5">
        <f>SUM(C7:C40)</f>
        <v>940705</v>
      </c>
      <c r="D41" s="5"/>
      <c r="E41" s="5">
        <f>SUM(E7:E40)</f>
        <v>257573.2446035934</v>
      </c>
      <c r="F41" s="8">
        <f>SUM(F7:F40)</f>
        <v>0.99999999999999989</v>
      </c>
      <c r="G41" s="11">
        <f>SUM(G7:G40)</f>
        <v>135916.66666666666</v>
      </c>
      <c r="H41" s="12">
        <f t="shared" ref="H41" si="4">G41/C41</f>
        <v>0.14448383570478168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2000000</v>
      </c>
    </row>
    <row r="4" spans="2:8" x14ac:dyDescent="0.25">
      <c r="B4" t="s">
        <v>41</v>
      </c>
      <c r="C4" s="14">
        <f>'County Data'!J9</f>
        <v>135916.66666666666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Data'!$B$11</f>
        <v>Benton</v>
      </c>
      <c r="C7" s="15">
        <f>VLOOKUP($B7,'County Data'!$B$10:$L$46,2,FALSE)</f>
        <v>0</v>
      </c>
      <c r="D7" s="29">
        <f>VLOOKUP($B7,'County Data'!$B$10:$L$46,9,FALSE)</f>
        <v>4.5600029431241265E-2</v>
      </c>
      <c r="E7" s="31">
        <f t="shared" ref="E7:E40" si="0">C7*D7</f>
        <v>0</v>
      </c>
      <c r="F7" s="6">
        <f t="shared" ref="F7:F40" si="1">E7/$E$41</f>
        <v>0</v>
      </c>
      <c r="G7" s="14">
        <f t="shared" ref="G7:G40" si="2">$C$4*F7</f>
        <v>0</v>
      </c>
      <c r="H7" s="10" t="e">
        <f t="shared" ref="H7:H40" si="3">G7/C7</f>
        <v>#DIV/0!</v>
      </c>
    </row>
    <row r="8" spans="2:8" x14ac:dyDescent="0.25">
      <c r="B8" s="20" t="str">
        <f>+'County Data'!$B$12</f>
        <v>Clackamas</v>
      </c>
      <c r="C8" s="15">
        <f>VLOOKUP($B8,'County Data'!$B$10:$L$46,2,FALSE)</f>
        <v>0</v>
      </c>
      <c r="D8" s="29">
        <f>VLOOKUP($B8,'County Data'!$B$10:$L$46,9,FALSE)</f>
        <v>6.7258416497069859E-2</v>
      </c>
      <c r="E8" s="31">
        <f t="shared" si="0"/>
        <v>0</v>
      </c>
      <c r="F8" s="6">
        <f t="shared" si="1"/>
        <v>0</v>
      </c>
      <c r="G8" s="14">
        <f t="shared" si="2"/>
        <v>0</v>
      </c>
      <c r="H8" s="10" t="e">
        <f t="shared" si="3"/>
        <v>#DIV/0!</v>
      </c>
    </row>
    <row r="9" spans="2:8" x14ac:dyDescent="0.25">
      <c r="B9" s="20" t="str">
        <f>+'County Data'!$B$42</f>
        <v>Wallowa</v>
      </c>
      <c r="C9" s="15">
        <f>VLOOKUP($B9,'County Data'!$B$10:$L$46,2,FALSE)</f>
        <v>0</v>
      </c>
      <c r="D9" s="29">
        <f>VLOOKUP($B9,'County Data'!$B$10:$L$46,9,FALSE)</f>
        <v>7.5023041474654384E-2</v>
      </c>
      <c r="E9" s="31">
        <f t="shared" si="0"/>
        <v>0</v>
      </c>
      <c r="F9" s="6">
        <f t="shared" si="1"/>
        <v>0</v>
      </c>
      <c r="G9" s="14">
        <f t="shared" si="2"/>
        <v>0</v>
      </c>
      <c r="H9" s="10" t="e">
        <f t="shared" si="3"/>
        <v>#DIV/0!</v>
      </c>
    </row>
    <row r="10" spans="2:8" x14ac:dyDescent="0.25">
      <c r="B10" s="20" t="str">
        <f>+'County Data'!$B$18</f>
        <v>Deschutes</v>
      </c>
      <c r="C10" s="15">
        <f>VLOOKUP($B10,'County Data'!$B$10:$L$46,2,FALSE)</f>
        <v>0</v>
      </c>
      <c r="D10" s="29">
        <f>VLOOKUP($B10,'County Data'!$B$10:$L$46,9,FALSE)</f>
        <v>6.4709260039046049E-2</v>
      </c>
      <c r="E10" s="31">
        <f t="shared" si="0"/>
        <v>0</v>
      </c>
      <c r="F10" s="6">
        <f t="shared" si="1"/>
        <v>0</v>
      </c>
      <c r="G10" s="14">
        <f t="shared" si="2"/>
        <v>0</v>
      </c>
      <c r="H10" s="10" t="e">
        <f t="shared" si="3"/>
        <v>#DIV/0!</v>
      </c>
    </row>
    <row r="11" spans="2:8" x14ac:dyDescent="0.2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Data'!$B$10:$L$46,9,FALSE)</f>
        <v>7.6918634867471275E-2</v>
      </c>
      <c r="E11" s="31">
        <f t="shared" si="0"/>
        <v>2064.496159842929</v>
      </c>
      <c r="F11" s="6">
        <f t="shared" si="1"/>
        <v>1.8127474403188591E-2</v>
      </c>
      <c r="G11" s="14">
        <f t="shared" si="2"/>
        <v>2463.825895966716</v>
      </c>
      <c r="H11" s="10">
        <f t="shared" si="3"/>
        <v>9.1796791951069892E-2</v>
      </c>
    </row>
    <row r="12" spans="2:8" x14ac:dyDescent="0.25">
      <c r="B12" s="20" t="str">
        <f>+'County Data'!$B$13</f>
        <v>Clatsop</v>
      </c>
      <c r="C12" s="15">
        <f>VLOOKUP($B12,'County Data'!$B$10:$L$46,2,FALSE)</f>
        <v>39455</v>
      </c>
      <c r="D12" s="29">
        <f>VLOOKUP($B12,'County Data'!$B$10:$L$46,9,FALSE)</f>
        <v>8.4374440665831399E-2</v>
      </c>
      <c r="E12" s="31">
        <f t="shared" si="0"/>
        <v>3328.9935564703778</v>
      </c>
      <c r="F12" s="6">
        <f t="shared" si="1"/>
        <v>2.9230495390162307E-2</v>
      </c>
      <c r="G12" s="14">
        <f t="shared" si="2"/>
        <v>3972.9114984462267</v>
      </c>
      <c r="H12" s="10">
        <f t="shared" si="3"/>
        <v>0.10069475347728365</v>
      </c>
    </row>
    <row r="13" spans="2:8" x14ac:dyDescent="0.25">
      <c r="B13" s="20" t="str">
        <f>'County Data'!$B$45</f>
        <v>Wheeler</v>
      </c>
      <c r="C13" s="15">
        <f>VLOOKUP($B13,'County Data'!$B$10:$L$46,2,FALSE)</f>
        <v>1440</v>
      </c>
      <c r="D13" s="29">
        <f>VLOOKUP($B13,'County Data'!$B$10:$L$46,9,FALSE)</f>
        <v>7.9234972677595633E-2</v>
      </c>
      <c r="E13" s="31">
        <f t="shared" si="0"/>
        <v>114.09836065573771</v>
      </c>
      <c r="F13" s="6">
        <f t="shared" si="1"/>
        <v>1.001849822956332E-3</v>
      </c>
      <c r="G13" s="14">
        <f t="shared" si="2"/>
        <v>136.16808843681477</v>
      </c>
      <c r="H13" s="10">
        <f t="shared" si="3"/>
        <v>9.4561172525565812E-2</v>
      </c>
    </row>
    <row r="14" spans="2:8" x14ac:dyDescent="0.25">
      <c r="B14" s="20" t="str">
        <f>+'County Data'!$B$29</f>
        <v>Lane</v>
      </c>
      <c r="C14" s="15">
        <f>VLOOKUP($B14,'County Data'!$B$10:$L$46,2,FALSE)</f>
        <v>0</v>
      </c>
      <c r="D14" s="29">
        <f>VLOOKUP($B14,'County Data'!$B$10:$L$46,9,FALSE)</f>
        <v>8.6174325107355759E-2</v>
      </c>
      <c r="E14" s="31">
        <f t="shared" si="0"/>
        <v>0</v>
      </c>
      <c r="F14" s="6">
        <f t="shared" si="1"/>
        <v>0</v>
      </c>
      <c r="G14" s="14">
        <f t="shared" si="2"/>
        <v>0</v>
      </c>
      <c r="H14" s="10" t="e">
        <f t="shared" si="3"/>
        <v>#DIV/0!</v>
      </c>
    </row>
    <row r="15" spans="2:8" x14ac:dyDescent="0.25">
      <c r="B15" s="20" t="str">
        <f>+'County Data'!$B$37</f>
        <v>Polk</v>
      </c>
      <c r="C15" s="15">
        <f>VLOOKUP($B15,'County Data'!$B$10:$L$46,2,FALSE)</f>
        <v>83805</v>
      </c>
      <c r="D15" s="29">
        <f>VLOOKUP($B15,'County Data'!$B$10:$L$46,9,FALSE)</f>
        <v>9.566050387968196E-2</v>
      </c>
      <c r="E15" s="31">
        <f t="shared" si="0"/>
        <v>8016.8285276367469</v>
      </c>
      <c r="F15" s="6">
        <f t="shared" si="1"/>
        <v>7.0392406998007598E-2</v>
      </c>
      <c r="G15" s="14">
        <f t="shared" si="2"/>
        <v>9567.5013178125319</v>
      </c>
      <c r="H15" s="10">
        <f t="shared" si="3"/>
        <v>0.11416384843162737</v>
      </c>
    </row>
    <row r="16" spans="2:8" x14ac:dyDescent="0.25">
      <c r="B16" s="20" t="str">
        <f>+'County Data'!$B$44</f>
        <v>Washington</v>
      </c>
      <c r="C16" s="15">
        <f>VLOOKUP($B16,'County Data'!$B$10:$L$46,2,FALSE)</f>
        <v>0</v>
      </c>
      <c r="D16" s="29">
        <f>VLOOKUP($B16,'County Data'!$B$10:$L$46,9,FALSE)</f>
        <v>8.3950044504063362E-2</v>
      </c>
      <c r="E16" s="31">
        <f t="shared" si="0"/>
        <v>0</v>
      </c>
      <c r="F16" s="6">
        <f t="shared" si="1"/>
        <v>0</v>
      </c>
      <c r="G16" s="14">
        <f t="shared" si="2"/>
        <v>0</v>
      </c>
      <c r="H16" s="10" t="e">
        <f t="shared" si="3"/>
        <v>#DIV/0!</v>
      </c>
    </row>
    <row r="17" spans="2:8" x14ac:dyDescent="0.25">
      <c r="B17" s="20" t="str">
        <f>+'County Data'!$B$35</f>
        <v>Multnomah</v>
      </c>
      <c r="C17" s="15">
        <f>VLOOKUP($B17,'County Data'!$B$10:$L$46,2,FALSE)</f>
        <v>0</v>
      </c>
      <c r="D17" s="29">
        <f>VLOOKUP($B17,'County Data'!$B$10:$L$46,9,FALSE)</f>
        <v>8.7056662281201555E-2</v>
      </c>
      <c r="E17" s="31">
        <f t="shared" si="0"/>
        <v>0</v>
      </c>
      <c r="F17" s="6">
        <f t="shared" si="1"/>
        <v>0</v>
      </c>
      <c r="G17" s="14">
        <f t="shared" si="2"/>
        <v>0</v>
      </c>
      <c r="H17" s="10" t="e">
        <f t="shared" si="3"/>
        <v>#DIV/0!</v>
      </c>
    </row>
    <row r="18" spans="2:8" x14ac:dyDescent="0.25">
      <c r="B18" s="20" t="str">
        <f>+'County Data'!$B$10</f>
        <v>Baker</v>
      </c>
      <c r="C18" s="15">
        <f>VLOOKUP($B18,'County Data'!$B$10:$L$46,2,FALSE)</f>
        <v>16910</v>
      </c>
      <c r="D18" s="29">
        <f>VLOOKUP($B18,'County Data'!$B$10:$L$46,9,FALSE)</f>
        <v>0.10388846896783405</v>
      </c>
      <c r="E18" s="31">
        <f t="shared" si="0"/>
        <v>1756.7540102460737</v>
      </c>
      <c r="F18" s="6">
        <f t="shared" si="1"/>
        <v>1.5425319733148585E-2</v>
      </c>
      <c r="G18" s="14">
        <f t="shared" si="2"/>
        <v>2096.5580403971117</v>
      </c>
      <c r="H18" s="10">
        <f t="shared" si="3"/>
        <v>0.12398332586618047</v>
      </c>
    </row>
    <row r="19" spans="2:8" x14ac:dyDescent="0.25">
      <c r="B19" s="20" t="str">
        <f>+'County Data'!$B$14</f>
        <v>Columbia</v>
      </c>
      <c r="C19" s="15">
        <f>VLOOKUP($B19,'County Data'!$B$10:$L$46,2,FALSE)</f>
        <v>53280</v>
      </c>
      <c r="D19" s="29">
        <f>VLOOKUP($B19,'County Data'!$B$10:$L$46,9,FALSE)</f>
        <v>9.5876003321339609E-2</v>
      </c>
      <c r="E19" s="31">
        <f t="shared" si="0"/>
        <v>5108.2734569609747</v>
      </c>
      <c r="F19" s="6">
        <f t="shared" si="1"/>
        <v>4.4853605512442787E-2</v>
      </c>
      <c r="G19" s="14">
        <f t="shared" si="2"/>
        <v>6096.3525492328481</v>
      </c>
      <c r="H19" s="10">
        <f t="shared" si="3"/>
        <v>0.11442103132944535</v>
      </c>
    </row>
    <row r="20" spans="2:8" x14ac:dyDescent="0.25">
      <c r="B20" s="20" t="str">
        <f>+'County Data'!$B$39</f>
        <v>Tillamook</v>
      </c>
      <c r="C20" s="15">
        <f>VLOOKUP($B20,'County Data'!$B$10:$L$46,2,FALSE)</f>
        <v>26530</v>
      </c>
      <c r="D20" s="29">
        <f>VLOOKUP($B20,'County Data'!$B$10:$L$46,9,FALSE)</f>
        <v>9.6828904764352158E-2</v>
      </c>
      <c r="E20" s="31">
        <f t="shared" si="0"/>
        <v>2568.8708433982629</v>
      </c>
      <c r="F20" s="6">
        <f t="shared" si="1"/>
        <v>2.2556176836067556E-2</v>
      </c>
      <c r="G20" s="14">
        <f t="shared" si="2"/>
        <v>3065.7603683021816</v>
      </c>
      <c r="H20" s="10">
        <f t="shared" si="3"/>
        <v>0.11555824984177089</v>
      </c>
    </row>
    <row r="21" spans="2:8" x14ac:dyDescent="0.25">
      <c r="B21" s="20" t="str">
        <f>+'County Data'!$B$17</f>
        <v>Curry</v>
      </c>
      <c r="C21" s="15">
        <f>VLOOKUP($B21,'County Data'!$B$10:$L$46,2,FALSE)</f>
        <v>0</v>
      </c>
      <c r="D21" s="29">
        <f>VLOOKUP($B21,'County Data'!$B$10:$L$46,9,FALSE)</f>
        <v>0.10947055258663435</v>
      </c>
      <c r="E21" s="31">
        <f t="shared" si="0"/>
        <v>0</v>
      </c>
      <c r="F21" s="6">
        <f t="shared" si="1"/>
        <v>0</v>
      </c>
      <c r="G21" s="14">
        <f t="shared" si="2"/>
        <v>0</v>
      </c>
      <c r="H21" s="10" t="e">
        <f t="shared" si="3"/>
        <v>#DIV/0!</v>
      </c>
    </row>
    <row r="22" spans="2:8" x14ac:dyDescent="0.25">
      <c r="B22" s="20" t="str">
        <f>+'County Data'!$B$31</f>
        <v>Linn</v>
      </c>
      <c r="C22" s="15">
        <f>VLOOKUP($B22,'County Data'!$B$10:$L$46,2,FALSE)</f>
        <v>0</v>
      </c>
      <c r="D22" s="29">
        <f>VLOOKUP($B22,'County Data'!$B$10:$L$46,9,FALSE)</f>
        <v>0.10089543820066277</v>
      </c>
      <c r="E22" s="31">
        <f t="shared" si="0"/>
        <v>0</v>
      </c>
      <c r="F22" s="6">
        <f t="shared" si="1"/>
        <v>0</v>
      </c>
      <c r="G22" s="14">
        <f t="shared" si="2"/>
        <v>0</v>
      </c>
      <c r="H22" s="10" t="e">
        <f t="shared" si="3"/>
        <v>#DIV/0!</v>
      </c>
    </row>
    <row r="23" spans="2:8" x14ac:dyDescent="0.25">
      <c r="B23" s="20" t="str">
        <f>+'County Data'!$B$21</f>
        <v>Grant</v>
      </c>
      <c r="C23" s="15">
        <f>VLOOKUP($B23,'County Data'!$B$10:$L$46,2,FALSE)</f>
        <v>7315</v>
      </c>
      <c r="D23" s="29">
        <f>VLOOKUP($B23,'County Data'!$B$10:$L$46,9,FALSE)</f>
        <v>0.11228389444949954</v>
      </c>
      <c r="E23" s="31">
        <f t="shared" si="0"/>
        <v>821.35668789808915</v>
      </c>
      <c r="F23" s="6">
        <f t="shared" si="1"/>
        <v>7.2119883898903283E-3</v>
      </c>
      <c r="G23" s="14">
        <f t="shared" si="2"/>
        <v>980.22942199259376</v>
      </c>
      <c r="H23" s="10">
        <f t="shared" si="3"/>
        <v>0.13400265509126366</v>
      </c>
    </row>
    <row r="24" spans="2:8" x14ac:dyDescent="0.25">
      <c r="B24" s="20" t="str">
        <f>+'County Data'!$B$22</f>
        <v>Harney</v>
      </c>
      <c r="C24" s="15">
        <f>VLOOKUP($B24,'County Data'!$B$10:$L$46,2,FALSE)</f>
        <v>7280</v>
      </c>
      <c r="D24" s="29">
        <f>VLOOKUP($B24,'County Data'!$B$10:$L$46,9,FALSE)</f>
        <v>0.1021883920076118</v>
      </c>
      <c r="E24" s="31">
        <f t="shared" si="0"/>
        <v>743.93149381541389</v>
      </c>
      <c r="F24" s="6">
        <f t="shared" si="1"/>
        <v>6.5321502525297883E-3</v>
      </c>
      <c r="G24" s="14">
        <f t="shared" si="2"/>
        <v>887.82808848967363</v>
      </c>
      <c r="H24" s="10">
        <f t="shared" si="3"/>
        <v>0.12195440775957056</v>
      </c>
    </row>
    <row r="25" spans="2:8" x14ac:dyDescent="0.25">
      <c r="B25" s="20" t="str">
        <f>+'County Data'!$B$30</f>
        <v>Lincoln</v>
      </c>
      <c r="C25" s="15">
        <f>VLOOKUP($B25,'County Data'!$B$10:$L$46,2,FALSE)</f>
        <v>0</v>
      </c>
      <c r="D25" s="29">
        <f>VLOOKUP($B25,'County Data'!$B$10:$L$46,9,FALSE)</f>
        <v>9.4152142042677966E-2</v>
      </c>
      <c r="E25" s="31">
        <f t="shared" si="0"/>
        <v>0</v>
      </c>
      <c r="F25" s="6">
        <f t="shared" si="1"/>
        <v>0</v>
      </c>
      <c r="G25" s="14">
        <f t="shared" si="2"/>
        <v>0</v>
      </c>
      <c r="H25" s="10" t="e">
        <f t="shared" si="3"/>
        <v>#DIV/0!</v>
      </c>
    </row>
    <row r="26" spans="2:8" x14ac:dyDescent="0.25">
      <c r="B26" s="20" t="str">
        <f>+'County Data'!$B$19</f>
        <v>Douglas</v>
      </c>
      <c r="C26" s="15">
        <f>VLOOKUP($B26,'County Data'!$B$10:$L$46,2,FALSE)</f>
        <v>112530</v>
      </c>
      <c r="D26" s="29">
        <f>VLOOKUP($B26,'County Data'!$B$10:$L$46,9,FALSE)</f>
        <v>0.10892266853651207</v>
      </c>
      <c r="E26" s="31">
        <f t="shared" si="0"/>
        <v>12257.067890413704</v>
      </c>
      <c r="F26" s="6">
        <f t="shared" si="1"/>
        <v>0.10762416940437604</v>
      </c>
      <c r="G26" s="14">
        <f t="shared" si="2"/>
        <v>14627.918358211442</v>
      </c>
      <c r="H26" s="10">
        <f t="shared" si="3"/>
        <v>0.1299912766214471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0</v>
      </c>
      <c r="D27" s="29">
        <f>VLOOKUP($B27,'County Data'!$B$10:$L$46,9,FALSE)</f>
        <v>0.10373965023348289</v>
      </c>
      <c r="E27" s="31">
        <f t="shared" si="0"/>
        <v>0</v>
      </c>
      <c r="F27" s="6">
        <f t="shared" si="1"/>
        <v>0</v>
      </c>
      <c r="G27" s="14">
        <f t="shared" si="2"/>
        <v>0</v>
      </c>
      <c r="H27" s="10" t="e">
        <f t="shared" si="3"/>
        <v>#DIV/0!</v>
      </c>
    </row>
    <row r="28" spans="2:8" x14ac:dyDescent="0.25">
      <c r="B28" s="20" t="str">
        <f>+'County Data'!$B$15</f>
        <v>Coos</v>
      </c>
      <c r="C28" s="15">
        <f>VLOOKUP($B28,'County Data'!$B$10:$L$46,2,FALSE)</f>
        <v>63315</v>
      </c>
      <c r="D28" s="29">
        <f>VLOOKUP($B28,'County Data'!$B$10:$L$46,9,FALSE)</f>
        <v>0.11153339844579388</v>
      </c>
      <c r="E28" s="31">
        <f t="shared" si="0"/>
        <v>7061.7371225954394</v>
      </c>
      <c r="F28" s="6">
        <f t="shared" si="1"/>
        <v>6.2006150179341989E-2</v>
      </c>
      <c r="G28" s="14">
        <f t="shared" si="2"/>
        <v>8427.6692452088973</v>
      </c>
      <c r="H28" s="10">
        <f t="shared" si="3"/>
        <v>0.13310699273803833</v>
      </c>
    </row>
    <row r="29" spans="2:8" x14ac:dyDescent="0.25">
      <c r="B29" s="20" t="str">
        <f>+'County Data'!$B$26</f>
        <v>Josephine</v>
      </c>
      <c r="C29" s="15">
        <f>VLOOKUP($B29,'County Data'!$B$10:$L$46,2,FALSE)</f>
        <v>86560</v>
      </c>
      <c r="D29" s="29">
        <f>VLOOKUP($B29,'County Data'!$B$10:$L$46,9,FALSE)</f>
        <v>9.7927181538266198E-2</v>
      </c>
      <c r="E29" s="31">
        <f t="shared" si="0"/>
        <v>8476.576833952322</v>
      </c>
      <c r="F29" s="6">
        <f t="shared" si="1"/>
        <v>7.4429263940032117E-2</v>
      </c>
      <c r="G29" s="14">
        <f t="shared" si="2"/>
        <v>10116.177457182697</v>
      </c>
      <c r="H29" s="10">
        <f t="shared" si="3"/>
        <v>0.1168689632299295</v>
      </c>
    </row>
    <row r="30" spans="2:8" x14ac:dyDescent="0.25">
      <c r="B30" s="20" t="str">
        <f>+'County Data'!$B$46</f>
        <v>Yamhill</v>
      </c>
      <c r="C30" s="15">
        <f>VLOOKUP($B30,'County Data'!$B$10:$L$46,2,FALSE)</f>
        <v>108605</v>
      </c>
      <c r="D30" s="29">
        <f>VLOOKUP($B30,'County Data'!$B$10:$L$46,9,FALSE)</f>
        <v>0.11749373577949944</v>
      </c>
      <c r="E30" s="31">
        <f t="shared" si="0"/>
        <v>12760.407174332537</v>
      </c>
      <c r="F30" s="6">
        <f t="shared" si="1"/>
        <v>0.11204378042755765</v>
      </c>
      <c r="G30" s="14">
        <f t="shared" si="2"/>
        <v>15228.617156445544</v>
      </c>
      <c r="H30" s="10">
        <f t="shared" si="3"/>
        <v>0.14022022150403338</v>
      </c>
    </row>
    <row r="31" spans="2:8" x14ac:dyDescent="0.25">
      <c r="B31" s="20" t="str">
        <f>+'County Data'!$B$27</f>
        <v>Klamath</v>
      </c>
      <c r="C31" s="15">
        <f>VLOOKUP($B31,'County Data'!$B$10:$L$46,2,FALSE)</f>
        <v>68075</v>
      </c>
      <c r="D31" s="29">
        <f>VLOOKUP($B31,'County Data'!$B$10:$L$46,9,FALSE)</f>
        <v>0.12596828136800087</v>
      </c>
      <c r="E31" s="31">
        <f t="shared" si="0"/>
        <v>8575.2907541266595</v>
      </c>
      <c r="F31" s="6">
        <f t="shared" si="1"/>
        <v>7.529602944728056E-2</v>
      </c>
      <c r="G31" s="14">
        <f t="shared" si="2"/>
        <v>10233.985335709549</v>
      </c>
      <c r="H31" s="10">
        <f t="shared" si="3"/>
        <v>0.15033397481762098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Data'!$B$10:$L$46,9,FALSE)</f>
        <v>0.12438408845090734</v>
      </c>
      <c r="E32" s="31">
        <f t="shared" si="0"/>
        <v>2915.5630332892683</v>
      </c>
      <c r="F32" s="6">
        <f t="shared" si="1"/>
        <v>2.5600335464346501E-2</v>
      </c>
      <c r="G32" s="14">
        <f t="shared" si="2"/>
        <v>3479.5122618624282</v>
      </c>
      <c r="H32" s="10">
        <f t="shared" si="3"/>
        <v>0.1484433558815029</v>
      </c>
    </row>
    <row r="33" spans="2:8" x14ac:dyDescent="0.25">
      <c r="B33" s="20" t="str">
        <f>+'County Data'!$B$36</f>
        <v>Gilliam, Sherman, Wasco</v>
      </c>
      <c r="C33" s="15">
        <f>VLOOKUP($B33,'County Data'!$B$10:$L$46,2,FALSE)</f>
        <v>31080</v>
      </c>
      <c r="D33" s="29">
        <f>VLOOKUP($B33,'County Data'!$B$10:$L$46,9,FALSE)</f>
        <v>0.13515598630599354</v>
      </c>
      <c r="E33" s="31">
        <f t="shared" si="0"/>
        <v>4200.648054390279</v>
      </c>
      <c r="F33" s="6">
        <f t="shared" si="1"/>
        <v>3.6884127742120458E-2</v>
      </c>
      <c r="G33" s="14">
        <f t="shared" si="2"/>
        <v>5013.1676956165384</v>
      </c>
      <c r="H33" s="10">
        <f t="shared" si="3"/>
        <v>0.16129883190529404</v>
      </c>
    </row>
    <row r="34" spans="2:8" x14ac:dyDescent="0.25">
      <c r="B34" s="20" t="str">
        <f>+'County Data'!$B$33</f>
        <v>Marion</v>
      </c>
      <c r="C34" s="15">
        <f>VLOOKUP($B34,'County Data'!$B$10:$L$46,2,FALSE)</f>
        <v>0</v>
      </c>
      <c r="D34" s="29">
        <f>VLOOKUP($B34,'County Data'!$B$10:$L$46,9,FALSE)</f>
        <v>0.14741470645743621</v>
      </c>
      <c r="E34" s="31">
        <f t="shared" si="0"/>
        <v>0</v>
      </c>
      <c r="F34" s="6">
        <f t="shared" si="1"/>
        <v>0</v>
      </c>
      <c r="G34" s="14">
        <f t="shared" si="2"/>
        <v>0</v>
      </c>
      <c r="H34" s="10" t="e">
        <f t="shared" si="3"/>
        <v>#DIV/0!</v>
      </c>
    </row>
    <row r="35" spans="2:8" x14ac:dyDescent="0.25">
      <c r="B35" s="20" t="str">
        <f>+'County Data'!$B$28</f>
        <v>Lake</v>
      </c>
      <c r="C35" s="15">
        <f>VLOOKUP($B35,'County Data'!$B$10:$L$46,2,FALSE)</f>
        <v>8075</v>
      </c>
      <c r="D35" s="29">
        <f>VLOOKUP($B35,'County Data'!$B$10:$L$46,9,FALSE)</f>
        <v>0.13104736038024103</v>
      </c>
      <c r="E35" s="31">
        <f t="shared" si="0"/>
        <v>1058.2074350704463</v>
      </c>
      <c r="F35" s="6">
        <f t="shared" si="1"/>
        <v>9.291675405181098E-3</v>
      </c>
      <c r="G35" s="14">
        <f t="shared" si="2"/>
        <v>1262.8935488208642</v>
      </c>
      <c r="H35" s="10">
        <f t="shared" si="3"/>
        <v>0.15639548592208846</v>
      </c>
    </row>
    <row r="36" spans="2:8" x14ac:dyDescent="0.25">
      <c r="B36" s="20" t="str">
        <f>+'County Data'!$B$25</f>
        <v>Jefferson</v>
      </c>
      <c r="C36" s="15">
        <f>VLOOKUP($B36,'County Data'!$B$10:$L$46,2,FALSE)</f>
        <v>24105</v>
      </c>
      <c r="D36" s="29">
        <f>VLOOKUP($B36,'County Data'!$B$10:$L$46,9,FALSE)</f>
        <v>0.14004805260495701</v>
      </c>
      <c r="E36" s="31">
        <f t="shared" si="0"/>
        <v>3375.8583080424887</v>
      </c>
      <c r="F36" s="6">
        <f t="shared" si="1"/>
        <v>2.9641995106683878E-2</v>
      </c>
      <c r="G36" s="14">
        <f t="shared" si="2"/>
        <v>4028.8411682501169</v>
      </c>
      <c r="H36" s="10">
        <f t="shared" si="3"/>
        <v>0.16713715694877065</v>
      </c>
    </row>
    <row r="37" spans="2:8" x14ac:dyDescent="0.25">
      <c r="B37" s="20" t="str">
        <f>+'County Data'!$B$40</f>
        <v>Umatilla</v>
      </c>
      <c r="C37" s="15">
        <f>VLOOKUP($B37,'County Data'!$B$10:$L$46,2,FALSE)</f>
        <v>81495</v>
      </c>
      <c r="D37" s="29">
        <f>VLOOKUP($B37,'County Data'!$B$10:$L$46,9,FALSE)</f>
        <v>0.1782276866667995</v>
      </c>
      <c r="E37" s="31">
        <f t="shared" si="0"/>
        <v>14524.665324910826</v>
      </c>
      <c r="F37" s="6">
        <f t="shared" si="1"/>
        <v>0.12753499086781248</v>
      </c>
      <c r="G37" s="14">
        <f t="shared" si="2"/>
        <v>17334.130842116843</v>
      </c>
      <c r="H37" s="10">
        <f t="shared" si="3"/>
        <v>0.21270177117757952</v>
      </c>
    </row>
    <row r="38" spans="2:8" x14ac:dyDescent="0.25">
      <c r="B38" s="20" t="str">
        <f>+'County Data'!$B$23</f>
        <v>Hood River</v>
      </c>
      <c r="C38" s="15">
        <f>VLOOKUP($B38,'County Data'!$B$10:$L$46,2,FALSE)</f>
        <v>25640</v>
      </c>
      <c r="D38" s="29">
        <f>VLOOKUP($B38,'County Data'!$B$10:$L$46,9,FALSE)</f>
        <v>0.18945337620578778</v>
      </c>
      <c r="E38" s="31">
        <f t="shared" si="0"/>
        <v>4857.5845659163988</v>
      </c>
      <c r="F38" s="6">
        <f t="shared" si="1"/>
        <v>4.2652411563058046E-2</v>
      </c>
      <c r="G38" s="14">
        <f t="shared" si="2"/>
        <v>5797.1736049456385</v>
      </c>
      <c r="H38" s="10">
        <f t="shared" si="3"/>
        <v>0.22609881454546171</v>
      </c>
    </row>
    <row r="39" spans="2:8" x14ac:dyDescent="0.25">
      <c r="B39" s="20" t="str">
        <f>+'County Data'!$B$32</f>
        <v>Malheur</v>
      </c>
      <c r="C39" s="15">
        <f>VLOOKUP($B39,'County Data'!$B$10:$L$46,2,FALSE)</f>
        <v>32105</v>
      </c>
      <c r="D39" s="29">
        <f>VLOOKUP($B39,'County Data'!$B$10:$L$46,9,FALSE)</f>
        <v>0.1910630959626699</v>
      </c>
      <c r="E39" s="31">
        <f t="shared" si="0"/>
        <v>6134.0806958815174</v>
      </c>
      <c r="F39" s="6">
        <f t="shared" si="1"/>
        <v>5.3860788392139917E-2</v>
      </c>
      <c r="G39" s="14">
        <f t="shared" si="2"/>
        <v>7320.5788222983501</v>
      </c>
      <c r="H39" s="10">
        <f t="shared" si="3"/>
        <v>0.2280198979068167</v>
      </c>
    </row>
    <row r="40" spans="2:8" x14ac:dyDescent="0.25">
      <c r="B40" s="20" t="str">
        <f>+'County Data'!$B$34</f>
        <v>Morrow</v>
      </c>
      <c r="C40" s="15">
        <f>VLOOKUP($B40,'County Data'!$B$10:$L$46,2,FALSE)</f>
        <v>12825</v>
      </c>
      <c r="D40" s="29">
        <f>VLOOKUP($B40,'County Data'!$B$10:$L$46,9,FALSE)</f>
        <v>0.24689265536723165</v>
      </c>
      <c r="E40" s="31">
        <f t="shared" si="0"/>
        <v>3166.398305084746</v>
      </c>
      <c r="F40" s="6">
        <f t="shared" si="1"/>
        <v>2.7802814721675475E-2</v>
      </c>
      <c r="G40" s="14">
        <f t="shared" si="2"/>
        <v>3778.8659009210583</v>
      </c>
      <c r="H40" s="10">
        <f t="shared" si="3"/>
        <v>0.294648413327178</v>
      </c>
    </row>
    <row r="41" spans="2:8" x14ac:dyDescent="0.25">
      <c r="B41" s="4" t="s">
        <v>2</v>
      </c>
      <c r="C41" s="5">
        <f>SUM(C6:C40)</f>
        <v>940705</v>
      </c>
      <c r="D41" s="5"/>
      <c r="E41" s="5">
        <f>SUM(E6:E40)</f>
        <v>113887.68859493123</v>
      </c>
      <c r="F41" s="8">
        <f>SUM(F6:F40)</f>
        <v>1</v>
      </c>
      <c r="G41" s="11">
        <f>SUM(G6:G40)</f>
        <v>135916.66666666666</v>
      </c>
      <c r="H41" s="12">
        <f t="shared" ref="H41" si="4">G41/C41</f>
        <v>0.14448383570478168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  <col min="10" max="10" width="10.5703125" bestFit="1" customWidth="1"/>
  </cols>
  <sheetData>
    <row r="3" spans="2:10" x14ac:dyDescent="0.25">
      <c r="B3" t="s">
        <v>0</v>
      </c>
      <c r="C3" s="1">
        <f>'County Data'!C5</f>
        <v>2000000</v>
      </c>
    </row>
    <row r="4" spans="2:10" x14ac:dyDescent="0.25">
      <c r="B4" t="s">
        <v>41</v>
      </c>
      <c r="C4" s="14">
        <f>'County Data'!K9</f>
        <v>271833.33333333331</v>
      </c>
      <c r="D4" s="9"/>
    </row>
    <row r="6" spans="2:10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0" x14ac:dyDescent="0.2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Data'!$B$10:$L$46,10,FALSE)</f>
        <v>7.3637702503681884E-4</v>
      </c>
      <c r="E7" s="31">
        <f t="shared" ref="E7:E40" si="0">C7*D7</f>
        <v>1.0603829160530192</v>
      </c>
      <c r="F7" s="6">
        <f t="shared" ref="F7:F40" si="1">E7/$E$41</f>
        <v>2.6771185652667415E-5</v>
      </c>
      <c r="G7" s="14">
        <f t="shared" ref="G7:G40" si="2">$C$4*F7</f>
        <v>7.2773006332500918</v>
      </c>
      <c r="H7" s="10">
        <f t="shared" ref="H7:H40" si="3">G7/C7</f>
        <v>5.0536809953125638E-3</v>
      </c>
      <c r="J7" s="32"/>
    </row>
    <row r="8" spans="2:10" x14ac:dyDescent="0.25">
      <c r="B8" s="20" t="str">
        <f>+'County Data'!$B$16</f>
        <v>Crook</v>
      </c>
      <c r="C8" s="15">
        <f>VLOOKUP($B8,'County Data'!$B$10:$L$46,2,FALSE)</f>
        <v>23440</v>
      </c>
      <c r="D8" s="29">
        <f>VLOOKUP($B8,'County Data'!$B$10:$L$46,10,FALSE)</f>
        <v>1.2850082372322899E-2</v>
      </c>
      <c r="E8" s="31">
        <f t="shared" si="0"/>
        <v>301.20593080724876</v>
      </c>
      <c r="F8" s="6">
        <f t="shared" si="1"/>
        <v>7.6044603993998807E-3</v>
      </c>
      <c r="G8" s="14">
        <f t="shared" si="2"/>
        <v>2067.1458185702008</v>
      </c>
      <c r="H8" s="10">
        <f t="shared" si="3"/>
        <v>8.8188814785418124E-2</v>
      </c>
      <c r="J8" s="32"/>
    </row>
    <row r="9" spans="2:10" x14ac:dyDescent="0.25">
      <c r="B9" s="20" t="str">
        <f>+'County Data'!$B$42</f>
        <v>Wallowa</v>
      </c>
      <c r="C9" s="15">
        <f>VLOOKUP($B9,'County Data'!$B$10:$L$46,2,FALSE)</f>
        <v>0</v>
      </c>
      <c r="D9" s="29">
        <f>VLOOKUP($B9,'County Data'!$B$10:$L$46,10,FALSE)</f>
        <v>1.0912397696271597E-2</v>
      </c>
      <c r="E9" s="31">
        <f t="shared" si="0"/>
        <v>0</v>
      </c>
      <c r="F9" s="6">
        <f t="shared" si="1"/>
        <v>0</v>
      </c>
      <c r="G9" s="14">
        <f t="shared" si="2"/>
        <v>0</v>
      </c>
      <c r="H9" s="10" t="e">
        <f t="shared" si="3"/>
        <v>#DIV/0!</v>
      </c>
      <c r="J9" s="32"/>
    </row>
    <row r="10" spans="2:10" x14ac:dyDescent="0.25">
      <c r="B10" s="20" t="str">
        <f>+'County Data'!$B$21</f>
        <v>Grant</v>
      </c>
      <c r="C10" s="15">
        <f>VLOOKUP($B10,'County Data'!$B$10:$L$46,2,FALSE)</f>
        <v>7315</v>
      </c>
      <c r="D10" s="29">
        <f>VLOOKUP($B10,'County Data'!$B$10:$L$46,10,FALSE)</f>
        <v>6.2718786464410732E-3</v>
      </c>
      <c r="E10" s="31">
        <f t="shared" si="0"/>
        <v>45.878792298716448</v>
      </c>
      <c r="F10" s="6">
        <f t="shared" si="1"/>
        <v>1.1582888101600599E-3</v>
      </c>
      <c r="G10" s="14">
        <f t="shared" si="2"/>
        <v>314.86150822850959</v>
      </c>
      <c r="H10" s="10">
        <f t="shared" si="3"/>
        <v>4.3043268383938425E-2</v>
      </c>
      <c r="J10" s="32"/>
    </row>
    <row r="11" spans="2:10" x14ac:dyDescent="0.25">
      <c r="B11" s="20" t="str">
        <f>+'County Data'!$B$10</f>
        <v>Baker</v>
      </c>
      <c r="C11" s="15">
        <f>VLOOKUP($B11,'County Data'!$B$10:$L$46,2,FALSE)</f>
        <v>16910</v>
      </c>
      <c r="D11" s="29">
        <f>VLOOKUP($B11,'County Data'!$B$10:$L$46,10,FALSE)</f>
        <v>1.370043472533263E-2</v>
      </c>
      <c r="E11" s="31">
        <f t="shared" si="0"/>
        <v>231.67435120537476</v>
      </c>
      <c r="F11" s="6">
        <f t="shared" si="1"/>
        <v>5.8490164007605067E-3</v>
      </c>
      <c r="G11" s="14">
        <f t="shared" si="2"/>
        <v>1589.9576249400643</v>
      </c>
      <c r="H11" s="10">
        <f t="shared" si="3"/>
        <v>9.4024696921352111E-2</v>
      </c>
      <c r="J11" s="32"/>
    </row>
    <row r="12" spans="2:10" x14ac:dyDescent="0.25">
      <c r="B12" s="20" t="str">
        <f>+'County Data'!$B$19</f>
        <v>Douglas</v>
      </c>
      <c r="C12" s="15">
        <f>VLOOKUP($B12,'County Data'!$B$10:$L$46,2,FALSE)</f>
        <v>112530</v>
      </c>
      <c r="D12" s="29">
        <f>VLOOKUP($B12,'County Data'!$B$10:$L$46,10,FALSE)</f>
        <v>1.1854937610714216E-2</v>
      </c>
      <c r="E12" s="31">
        <f t="shared" si="0"/>
        <v>1334.0361293336707</v>
      </c>
      <c r="F12" s="6">
        <f t="shared" si="1"/>
        <v>3.3680030435318566E-2</v>
      </c>
      <c r="G12" s="14">
        <f t="shared" si="2"/>
        <v>9155.3549400007632</v>
      </c>
      <c r="H12" s="10">
        <f t="shared" si="3"/>
        <v>8.1359237003472529E-2</v>
      </c>
      <c r="J12" s="32"/>
    </row>
    <row r="13" spans="2:10" x14ac:dyDescent="0.25">
      <c r="B13" s="20" t="str">
        <f>+'County Data'!$B$17</f>
        <v>Curry</v>
      </c>
      <c r="C13" s="15">
        <f>VLOOKUP($B13,'County Data'!$B$10:$L$46,2,FALSE)</f>
        <v>0</v>
      </c>
      <c r="D13" s="29">
        <f>VLOOKUP($B13,'County Data'!$B$10:$L$46,10,FALSE)</f>
        <v>1.3102458447150332E-2</v>
      </c>
      <c r="E13" s="31">
        <f t="shared" si="0"/>
        <v>0</v>
      </c>
      <c r="F13" s="6">
        <f t="shared" si="1"/>
        <v>0</v>
      </c>
      <c r="G13" s="14">
        <f t="shared" si="2"/>
        <v>0</v>
      </c>
      <c r="H13" s="10" t="e">
        <f t="shared" si="3"/>
        <v>#DIV/0!</v>
      </c>
      <c r="J13" s="32"/>
    </row>
    <row r="14" spans="2:10" x14ac:dyDescent="0.25">
      <c r="B14" s="20" t="str">
        <f>+'County Data'!$B$26</f>
        <v>Josephine</v>
      </c>
      <c r="C14" s="15">
        <f>VLOOKUP($B14,'County Data'!$B$10:$L$46,2,FALSE)</f>
        <v>86560</v>
      </c>
      <c r="D14" s="29">
        <f>VLOOKUP($B14,'County Data'!$B$10:$L$46,10,FALSE)</f>
        <v>1.3108498984552895E-2</v>
      </c>
      <c r="E14" s="31">
        <f t="shared" si="0"/>
        <v>1134.6716721028986</v>
      </c>
      <c r="F14" s="6">
        <f t="shared" si="1"/>
        <v>2.8646732731000015E-2</v>
      </c>
      <c r="G14" s="14">
        <f t="shared" si="2"/>
        <v>7787.1368473768371</v>
      </c>
      <c r="H14" s="10">
        <f t="shared" si="3"/>
        <v>8.9962301841229636E-2</v>
      </c>
      <c r="J14" s="32"/>
    </row>
    <row r="15" spans="2:10" x14ac:dyDescent="0.25">
      <c r="B15" s="20" t="str">
        <f>+'County Data'!$B$14</f>
        <v>Columbia</v>
      </c>
      <c r="C15" s="15">
        <f>VLOOKUP($B15,'County Data'!$B$10:$L$46,2,FALSE)</f>
        <v>53280</v>
      </c>
      <c r="D15" s="29">
        <f>VLOOKUP($B15,'County Data'!$B$10:$L$46,10,FALSE)</f>
        <v>1.3475133196508903E-2</v>
      </c>
      <c r="E15" s="31">
        <f t="shared" si="0"/>
        <v>717.95509670999434</v>
      </c>
      <c r="F15" s="6">
        <f t="shared" si="1"/>
        <v>1.8126007966862624E-2</v>
      </c>
      <c r="G15" s="14">
        <f t="shared" si="2"/>
        <v>4927.2531656588226</v>
      </c>
      <c r="H15" s="10">
        <f t="shared" si="3"/>
        <v>9.2478475331434357E-2</v>
      </c>
      <c r="J15" s="32"/>
    </row>
    <row r="16" spans="2:10" x14ac:dyDescent="0.25">
      <c r="B16" s="20" t="str">
        <f>+'County Data'!$B$41</f>
        <v>Union</v>
      </c>
      <c r="C16" s="15">
        <f>VLOOKUP($B16,'County Data'!$B$10:$L$46,2,FALSE)</f>
        <v>26840</v>
      </c>
      <c r="D16" s="29">
        <f>VLOOKUP($B16,'County Data'!$B$10:$L$46,10,FALSE)</f>
        <v>1.6070990431013329E-2</v>
      </c>
      <c r="E16" s="31">
        <f t="shared" si="0"/>
        <v>431.34538316839775</v>
      </c>
      <c r="F16" s="6">
        <f t="shared" si="1"/>
        <v>1.0890054110080323E-2</v>
      </c>
      <c r="G16" s="14">
        <f t="shared" si="2"/>
        <v>2960.2797089235009</v>
      </c>
      <c r="H16" s="10">
        <f t="shared" si="3"/>
        <v>0.11029358080937038</v>
      </c>
      <c r="J16" s="32"/>
    </row>
    <row r="17" spans="2:10" x14ac:dyDescent="0.25">
      <c r="B17" s="20" t="str">
        <f>+'County Data'!$B$15</f>
        <v>Coos</v>
      </c>
      <c r="C17" s="15">
        <f>VLOOKUP($B17,'County Data'!$B$10:$L$46,2,FALSE)</f>
        <v>63315</v>
      </c>
      <c r="D17" s="29">
        <f>VLOOKUP($B17,'County Data'!$B$10:$L$46,10,FALSE)</f>
        <v>1.4799926913941166E-2</v>
      </c>
      <c r="E17" s="31">
        <f t="shared" si="0"/>
        <v>937.05737255618487</v>
      </c>
      <c r="F17" s="6">
        <f t="shared" si="1"/>
        <v>2.3657620759563475E-2</v>
      </c>
      <c r="G17" s="14">
        <f t="shared" si="2"/>
        <v>6430.9299098080046</v>
      </c>
      <c r="H17" s="10">
        <f t="shared" si="3"/>
        <v>0.10157040053396517</v>
      </c>
      <c r="J17" s="32"/>
    </row>
    <row r="18" spans="2:10" x14ac:dyDescent="0.25">
      <c r="B18" s="20" t="str">
        <f>+'County Data'!$B$22</f>
        <v>Harney</v>
      </c>
      <c r="C18" s="15">
        <f>VLOOKUP($B18,'County Data'!$B$10:$L$46,2,FALSE)</f>
        <v>7280</v>
      </c>
      <c r="D18" s="29">
        <f>VLOOKUP($B18,'County Data'!$B$10:$L$46,10,FALSE)</f>
        <v>1.5169194865810968E-2</v>
      </c>
      <c r="E18" s="31">
        <f t="shared" si="0"/>
        <v>110.43173862310385</v>
      </c>
      <c r="F18" s="6">
        <f t="shared" si="1"/>
        <v>2.788038671568089E-3</v>
      </c>
      <c r="G18" s="14">
        <f t="shared" si="2"/>
        <v>757.88184555459213</v>
      </c>
      <c r="H18" s="10">
        <f t="shared" si="3"/>
        <v>0.10410464911464178</v>
      </c>
      <c r="J18" s="32"/>
    </row>
    <row r="19" spans="2:10" x14ac:dyDescent="0.25">
      <c r="B19" s="20" t="str">
        <f>+'County Data'!$B$18</f>
        <v>Deschutes</v>
      </c>
      <c r="C19" s="15">
        <f>VLOOKUP($B19,'County Data'!$B$10:$L$46,2,FALSE)</f>
        <v>0</v>
      </c>
      <c r="D19" s="29">
        <f>VLOOKUP($B19,'County Data'!$B$10:$L$46,10,FALSE)</f>
        <v>2.1095839220861116E-2</v>
      </c>
      <c r="E19" s="31">
        <f t="shared" si="0"/>
        <v>0</v>
      </c>
      <c r="F19" s="6">
        <f t="shared" si="1"/>
        <v>0</v>
      </c>
      <c r="G19" s="14">
        <f t="shared" si="2"/>
        <v>0</v>
      </c>
      <c r="H19" s="10" t="e">
        <f t="shared" si="3"/>
        <v>#DIV/0!</v>
      </c>
      <c r="J19" s="32"/>
    </row>
    <row r="20" spans="2:10" x14ac:dyDescent="0.25">
      <c r="B20" s="20" t="str">
        <f>+'County Data'!$B$31</f>
        <v>Linn</v>
      </c>
      <c r="C20" s="15">
        <f>VLOOKUP($B20,'County Data'!$B$10:$L$46,2,FALSE)</f>
        <v>0</v>
      </c>
      <c r="D20" s="29">
        <f>VLOOKUP($B20,'County Data'!$B$10:$L$46,10,FALSE)</f>
        <v>2.4106299860542066E-2</v>
      </c>
      <c r="E20" s="31">
        <f t="shared" si="0"/>
        <v>0</v>
      </c>
      <c r="F20" s="6">
        <f t="shared" si="1"/>
        <v>0</v>
      </c>
      <c r="G20" s="14">
        <f t="shared" si="2"/>
        <v>0</v>
      </c>
      <c r="H20" s="10" t="e">
        <f t="shared" si="3"/>
        <v>#DIV/0!</v>
      </c>
      <c r="J20" s="32"/>
    </row>
    <row r="21" spans="2:10" x14ac:dyDescent="0.25">
      <c r="B21" s="20" t="str">
        <f>+'County Data'!$B$39</f>
        <v>Tillamook</v>
      </c>
      <c r="C21" s="15">
        <f>VLOOKUP($B21,'County Data'!$B$10:$L$46,2,FALSE)</f>
        <v>26530</v>
      </c>
      <c r="D21" s="29">
        <f>VLOOKUP($B21,'County Data'!$B$10:$L$46,10,FALSE)</f>
        <v>3.1383278345537939E-2</v>
      </c>
      <c r="E21" s="31">
        <f t="shared" si="0"/>
        <v>832.59837450712155</v>
      </c>
      <c r="F21" s="6">
        <f t="shared" si="1"/>
        <v>2.1020374169178693E-2</v>
      </c>
      <c r="G21" s="14">
        <f t="shared" si="2"/>
        <v>5714.0383783217412</v>
      </c>
      <c r="H21" s="10">
        <f t="shared" si="3"/>
        <v>0.21538026303512028</v>
      </c>
      <c r="J21" s="32"/>
    </row>
    <row r="22" spans="2:10" x14ac:dyDescent="0.25">
      <c r="B22" s="20" t="str">
        <f>+'County Data'!$B$28</f>
        <v>Lake</v>
      </c>
      <c r="C22" s="15">
        <f>VLOOKUP($B22,'County Data'!$B$10:$L$46,2,FALSE)</f>
        <v>8075</v>
      </c>
      <c r="D22" s="29">
        <f>VLOOKUP($B22,'County Data'!$B$10:$L$46,10,FALSE)</f>
        <v>1.7890772128060263E-2</v>
      </c>
      <c r="E22" s="31">
        <f t="shared" si="0"/>
        <v>144.46798493408662</v>
      </c>
      <c r="F22" s="6">
        <f t="shared" si="1"/>
        <v>3.6473420940552129E-3</v>
      </c>
      <c r="G22" s="14">
        <f t="shared" si="2"/>
        <v>991.46915923400866</v>
      </c>
      <c r="H22" s="10">
        <f t="shared" si="3"/>
        <v>0.12278255841907228</v>
      </c>
      <c r="J22" s="32"/>
    </row>
    <row r="23" spans="2:10" x14ac:dyDescent="0.25">
      <c r="B23" s="20" t="str">
        <f>+'County Data'!$B$29</f>
        <v>Lane</v>
      </c>
      <c r="C23" s="15">
        <f>VLOOKUP($B23,'County Data'!$B$10:$L$46,2,FALSE)</f>
        <v>0</v>
      </c>
      <c r="D23" s="29">
        <f>VLOOKUP($B23,'County Data'!$B$10:$L$46,10,FALSE)</f>
        <v>2.5791358183192822E-2</v>
      </c>
      <c r="E23" s="31">
        <f t="shared" si="0"/>
        <v>0</v>
      </c>
      <c r="F23" s="6">
        <f t="shared" si="1"/>
        <v>0</v>
      </c>
      <c r="G23" s="14">
        <f t="shared" si="2"/>
        <v>0</v>
      </c>
      <c r="H23" s="10" t="e">
        <f t="shared" si="3"/>
        <v>#DIV/0!</v>
      </c>
      <c r="J23" s="32"/>
    </row>
    <row r="24" spans="2:10" x14ac:dyDescent="0.25">
      <c r="B24" s="20" t="str">
        <f>+'County Data'!$B$13</f>
        <v>Clatsop</v>
      </c>
      <c r="C24" s="15">
        <f>VLOOKUP($B24,'County Data'!$B$10:$L$46,2,FALSE)</f>
        <v>39455</v>
      </c>
      <c r="D24" s="29">
        <f>VLOOKUP($B24,'County Data'!$B$10:$L$46,10,FALSE)</f>
        <v>3.0615877536489856E-2</v>
      </c>
      <c r="E24" s="31">
        <f t="shared" si="0"/>
        <v>1207.9494482022073</v>
      </c>
      <c r="F24" s="6">
        <f t="shared" si="1"/>
        <v>3.0496755886287349E-2</v>
      </c>
      <c r="G24" s="14">
        <f t="shared" si="2"/>
        <v>8290.0348084224443</v>
      </c>
      <c r="H24" s="10">
        <f t="shared" si="3"/>
        <v>0.21011366895000491</v>
      </c>
      <c r="J24" s="32"/>
    </row>
    <row r="25" spans="2:10" x14ac:dyDescent="0.25">
      <c r="B25" s="20" t="str">
        <f>+'County Data'!$B$27</f>
        <v>Klamath</v>
      </c>
      <c r="C25" s="15">
        <f>VLOOKUP($B25,'County Data'!$B$10:$L$46,2,FALSE)</f>
        <v>68075</v>
      </c>
      <c r="D25" s="29">
        <f>VLOOKUP($B25,'County Data'!$B$10:$L$46,10,FALSE)</f>
        <v>3.3411008437123343E-2</v>
      </c>
      <c r="E25" s="31">
        <f t="shared" si="0"/>
        <v>2274.4543993571715</v>
      </c>
      <c r="F25" s="6">
        <f t="shared" si="1"/>
        <v>5.7422502816588665E-2</v>
      </c>
      <c r="G25" s="14">
        <f t="shared" si="2"/>
        <v>15609.350348976017</v>
      </c>
      <c r="H25" s="10">
        <f t="shared" si="3"/>
        <v>0.22929636943042259</v>
      </c>
      <c r="J25" s="32"/>
    </row>
    <row r="26" spans="2:10" x14ac:dyDescent="0.25">
      <c r="B26" s="20" t="str">
        <f>+'County Data'!$B$30</f>
        <v>Lincoln</v>
      </c>
      <c r="C26" s="15">
        <f>VLOOKUP($B26,'County Data'!$B$10:$L$46,2,FALSE)</f>
        <v>0</v>
      </c>
      <c r="D26" s="29">
        <f>VLOOKUP($B26,'County Data'!$B$10:$L$46,10,FALSE)</f>
        <v>1.9758771929824562E-2</v>
      </c>
      <c r="E26" s="31">
        <f t="shared" si="0"/>
        <v>0</v>
      </c>
      <c r="F26" s="6">
        <f t="shared" si="1"/>
        <v>0</v>
      </c>
      <c r="G26" s="14">
        <f t="shared" si="2"/>
        <v>0</v>
      </c>
      <c r="H26" s="10" t="e">
        <f t="shared" si="3"/>
        <v>#DIV/0!</v>
      </c>
      <c r="J26" s="32"/>
    </row>
    <row r="27" spans="2:10" x14ac:dyDescent="0.25">
      <c r="B27" s="20" t="str">
        <f>+'County Data'!$B$24</f>
        <v>Jackson</v>
      </c>
      <c r="C27" s="15">
        <f>VLOOKUP($B27,'County Data'!$B$10:$L$46,2,FALSE)</f>
        <v>0</v>
      </c>
      <c r="D27" s="29">
        <f>VLOOKUP($B27,'County Data'!$B$10:$L$46,10,FALSE)</f>
        <v>3.5138513530205188E-2</v>
      </c>
      <c r="E27" s="31">
        <f t="shared" si="0"/>
        <v>0</v>
      </c>
      <c r="F27" s="6">
        <f t="shared" si="1"/>
        <v>0</v>
      </c>
      <c r="G27" s="14">
        <f t="shared" si="2"/>
        <v>0</v>
      </c>
      <c r="H27" s="10" t="e">
        <f t="shared" si="3"/>
        <v>#DIV/0!</v>
      </c>
      <c r="J27" s="32"/>
    </row>
    <row r="28" spans="2:10" x14ac:dyDescent="0.25">
      <c r="B28" s="20" t="str">
        <f>+'County Data'!$B$11</f>
        <v>Benton</v>
      </c>
      <c r="C28" s="15">
        <f>VLOOKUP($B28,'County Data'!$B$10:$L$46,2,FALSE)</f>
        <v>0</v>
      </c>
      <c r="D28" s="29">
        <f>VLOOKUP($B28,'County Data'!$B$10:$L$46,10,FALSE)</f>
        <v>4.7645036926935759E-2</v>
      </c>
      <c r="E28" s="31">
        <f t="shared" si="0"/>
        <v>0</v>
      </c>
      <c r="F28" s="6">
        <f t="shared" si="1"/>
        <v>0</v>
      </c>
      <c r="G28" s="14">
        <f t="shared" si="2"/>
        <v>0</v>
      </c>
      <c r="H28" s="10" t="e">
        <f t="shared" si="3"/>
        <v>#DIV/0!</v>
      </c>
      <c r="J28" s="32"/>
    </row>
    <row r="29" spans="2:10" x14ac:dyDescent="0.25">
      <c r="B29" s="20" t="str">
        <f>+'County Data'!$B$12</f>
        <v>Clackamas</v>
      </c>
      <c r="C29" s="15">
        <f>VLOOKUP($B29,'County Data'!$B$10:$L$46,2,FALSE)</f>
        <v>0</v>
      </c>
      <c r="D29" s="29">
        <f>VLOOKUP($B29,'County Data'!$B$10:$L$46,10,FALSE)</f>
        <v>4.0874504898895145E-2</v>
      </c>
      <c r="E29" s="31">
        <f t="shared" si="0"/>
        <v>0</v>
      </c>
      <c r="F29" s="6">
        <f t="shared" si="1"/>
        <v>0</v>
      </c>
      <c r="G29" s="14">
        <f t="shared" si="2"/>
        <v>0</v>
      </c>
      <c r="H29" s="10" t="e">
        <f t="shared" si="3"/>
        <v>#DIV/0!</v>
      </c>
      <c r="J29" s="32"/>
    </row>
    <row r="30" spans="2:10" x14ac:dyDescent="0.25">
      <c r="B30" s="20" t="str">
        <f>+'County Data'!$B$37</f>
        <v>Polk</v>
      </c>
      <c r="C30" s="15">
        <f>VLOOKUP($B30,'County Data'!$B$10:$L$46,2,FALSE)</f>
        <v>83805</v>
      </c>
      <c r="D30" s="29">
        <f>VLOOKUP($B30,'County Data'!$B$10:$L$46,10,FALSE)</f>
        <v>5.112740819862184E-2</v>
      </c>
      <c r="E30" s="31">
        <f t="shared" si="0"/>
        <v>4284.7324440855036</v>
      </c>
      <c r="F30" s="6">
        <f t="shared" si="1"/>
        <v>0.10817542040340176</v>
      </c>
      <c r="G30" s="14">
        <f t="shared" si="2"/>
        <v>29405.685112991378</v>
      </c>
      <c r="H30" s="10">
        <f t="shared" si="3"/>
        <v>0.35088222794572371</v>
      </c>
      <c r="J30" s="32"/>
    </row>
    <row r="31" spans="2:10" x14ac:dyDescent="0.25">
      <c r="B31" s="20" t="str">
        <f>+'County Data'!$B$25</f>
        <v>Jefferson</v>
      </c>
      <c r="C31" s="15">
        <f>VLOOKUP($B31,'County Data'!$B$10:$L$46,2,FALSE)</f>
        <v>24105</v>
      </c>
      <c r="D31" s="29">
        <f>VLOOKUP($B31,'County Data'!$B$10:$L$46,10,FALSE)</f>
        <v>4.9472082622527551E-2</v>
      </c>
      <c r="E31" s="31">
        <f t="shared" si="0"/>
        <v>1192.5245516160267</v>
      </c>
      <c r="F31" s="6">
        <f t="shared" si="1"/>
        <v>3.0107327912740865E-2</v>
      </c>
      <c r="G31" s="14">
        <f t="shared" si="2"/>
        <v>8184.1753042800583</v>
      </c>
      <c r="H31" s="10">
        <f t="shared" si="3"/>
        <v>0.33952189604978461</v>
      </c>
      <c r="J31" s="32"/>
    </row>
    <row r="32" spans="2:10" x14ac:dyDescent="0.25">
      <c r="B32" s="20" t="str">
        <f>+'County Data'!$B$46</f>
        <v>Yamhill</v>
      </c>
      <c r="C32" s="15">
        <f>VLOOKUP($B32,'County Data'!$B$10:$L$46,2,FALSE)</f>
        <v>108605</v>
      </c>
      <c r="D32" s="29">
        <f>VLOOKUP($B32,'County Data'!$B$10:$L$46,10,FALSE)</f>
        <v>5.2806933273375781E-2</v>
      </c>
      <c r="E32" s="31">
        <f t="shared" si="0"/>
        <v>5735.0969881549763</v>
      </c>
      <c r="F32" s="6">
        <f t="shared" si="1"/>
        <v>0.14479236121366731</v>
      </c>
      <c r="G32" s="14">
        <f t="shared" si="2"/>
        <v>39359.390189915226</v>
      </c>
      <c r="H32" s="10">
        <f t="shared" si="3"/>
        <v>0.36240863855177224</v>
      </c>
      <c r="J32" s="32"/>
    </row>
    <row r="33" spans="2:10" x14ac:dyDescent="0.25">
      <c r="B33" s="20" t="str">
        <f>+'County Data'!$B$36</f>
        <v>Gilliam, Sherman, Wasco</v>
      </c>
      <c r="C33" s="15">
        <f>VLOOKUP($B33,'County Data'!$B$10:$L$46,2,FALSE)</f>
        <v>31080</v>
      </c>
      <c r="D33" s="29">
        <f>VLOOKUP($B33,'County Data'!$B$10:$L$46,10,FALSE)</f>
        <v>5.4470336679592647E-2</v>
      </c>
      <c r="E33" s="31">
        <f t="shared" si="0"/>
        <v>1692.9380640017396</v>
      </c>
      <c r="F33" s="6">
        <f t="shared" si="1"/>
        <v>4.274112542151879E-2</v>
      </c>
      <c r="G33" s="14">
        <f t="shared" si="2"/>
        <v>11618.462593749524</v>
      </c>
      <c r="H33" s="10">
        <f t="shared" si="3"/>
        <v>0.37382440777829873</v>
      </c>
      <c r="J33" s="32"/>
    </row>
    <row r="34" spans="2:10" x14ac:dyDescent="0.25">
      <c r="B34" s="20" t="str">
        <f>+'County Data'!$B$35</f>
        <v>Multnomah</v>
      </c>
      <c r="C34" s="15">
        <f>VLOOKUP($B34,'County Data'!$B$10:$L$46,2,FALSE)</f>
        <v>0</v>
      </c>
      <c r="D34" s="29">
        <f>VLOOKUP($B34,'County Data'!$B$10:$L$46,10,FALSE)</f>
        <v>8.4254448034793039E-2</v>
      </c>
      <c r="E34" s="31">
        <f t="shared" si="0"/>
        <v>0</v>
      </c>
      <c r="F34" s="6">
        <f t="shared" si="1"/>
        <v>0</v>
      </c>
      <c r="G34" s="14">
        <f t="shared" si="2"/>
        <v>0</v>
      </c>
      <c r="H34" s="10" t="e">
        <f t="shared" si="3"/>
        <v>#DIV/0!</v>
      </c>
      <c r="J34" s="32"/>
    </row>
    <row r="35" spans="2:10" x14ac:dyDescent="0.25">
      <c r="B35" s="20" t="str">
        <f>+'County Data'!$B$32</f>
        <v>Malheur</v>
      </c>
      <c r="C35" s="15">
        <f>VLOOKUP($B35,'County Data'!$B$10:$L$46,2,FALSE)</f>
        <v>32105</v>
      </c>
      <c r="D35" s="29">
        <f>VLOOKUP($B35,'County Data'!$B$10:$L$46,10,FALSE)</f>
        <v>7.8250132298465336E-2</v>
      </c>
      <c r="E35" s="31">
        <f t="shared" si="0"/>
        <v>2512.2204974422298</v>
      </c>
      <c r="F35" s="6">
        <f t="shared" si="1"/>
        <v>6.3425315816856925E-2</v>
      </c>
      <c r="G35" s="14">
        <f t="shared" si="2"/>
        <v>17241.115016215605</v>
      </c>
      <c r="H35" s="10">
        <f t="shared" si="3"/>
        <v>0.53702273839637449</v>
      </c>
      <c r="J35" s="32"/>
    </row>
    <row r="36" spans="2:10" x14ac:dyDescent="0.25">
      <c r="B36" s="20" t="str">
        <f>+'County Data'!$B$44</f>
        <v>Washington</v>
      </c>
      <c r="C36" s="15">
        <f>VLOOKUP($B36,'County Data'!$B$10:$L$46,2,FALSE)</f>
        <v>0</v>
      </c>
      <c r="D36" s="29">
        <f>VLOOKUP($B36,'County Data'!$B$10:$L$46,10,FALSE)</f>
        <v>9.0625859571268771E-2</v>
      </c>
      <c r="E36" s="31">
        <f t="shared" si="0"/>
        <v>0</v>
      </c>
      <c r="F36" s="6">
        <f t="shared" si="1"/>
        <v>0</v>
      </c>
      <c r="G36" s="14">
        <f t="shared" si="2"/>
        <v>0</v>
      </c>
      <c r="H36" s="10" t="e">
        <f t="shared" si="3"/>
        <v>#DIV/0!</v>
      </c>
      <c r="J36" s="32"/>
    </row>
    <row r="37" spans="2:10" x14ac:dyDescent="0.25">
      <c r="B37" s="20" t="str">
        <f>+'County Data'!$B$40</f>
        <v>Umatilla</v>
      </c>
      <c r="C37" s="15">
        <f>VLOOKUP($B37,'County Data'!$B$10:$L$46,2,FALSE)</f>
        <v>81495</v>
      </c>
      <c r="D37" s="29">
        <f>VLOOKUP($B37,'County Data'!$B$10:$L$46,10,FALSE)</f>
        <v>0.10513829579390996</v>
      </c>
      <c r="E37" s="31">
        <f t="shared" si="0"/>
        <v>8568.2454157246921</v>
      </c>
      <c r="F37" s="6">
        <f t="shared" si="1"/>
        <v>0.21632005313306379</v>
      </c>
      <c r="G37" s="14">
        <f t="shared" si="2"/>
        <v>58803.001110004501</v>
      </c>
      <c r="H37" s="10">
        <f t="shared" si="3"/>
        <v>0.72155348315853118</v>
      </c>
      <c r="J37" s="32"/>
    </row>
    <row r="38" spans="2:10" x14ac:dyDescent="0.25">
      <c r="B38" s="20" t="str">
        <f>+'County Data'!$B$33</f>
        <v>Marion</v>
      </c>
      <c r="C38" s="15">
        <f>VLOOKUP($B38,'County Data'!$B$10:$L$46,2,FALSE)</f>
        <v>0</v>
      </c>
      <c r="D38" s="29">
        <f>VLOOKUP($B38,'County Data'!$B$10:$L$46,10,FALSE)</f>
        <v>0.10408129343246751</v>
      </c>
      <c r="E38" s="31">
        <f t="shared" si="0"/>
        <v>0</v>
      </c>
      <c r="F38" s="6">
        <f t="shared" si="1"/>
        <v>0</v>
      </c>
      <c r="G38" s="14">
        <f t="shared" si="2"/>
        <v>0</v>
      </c>
      <c r="H38" s="10" t="e">
        <f t="shared" si="3"/>
        <v>#DIV/0!</v>
      </c>
      <c r="J38" s="32"/>
    </row>
    <row r="39" spans="2:10" x14ac:dyDescent="0.25">
      <c r="B39" s="20" t="str">
        <f>+'County Data'!$B$23</f>
        <v>Hood River</v>
      </c>
      <c r="C39" s="15">
        <f>VLOOKUP($B39,'County Data'!$B$10:$L$46,2,FALSE)</f>
        <v>25640</v>
      </c>
      <c r="D39" s="29">
        <f>VLOOKUP($B39,'County Data'!$B$10:$L$46,10,FALSE)</f>
        <v>0.15446440944154463</v>
      </c>
      <c r="E39" s="31">
        <f t="shared" si="0"/>
        <v>3960.4674580812043</v>
      </c>
      <c r="F39" s="6">
        <f t="shared" si="1"/>
        <v>9.9988794601004682E-2</v>
      </c>
      <c r="G39" s="14">
        <f t="shared" si="2"/>
        <v>27180.287332373104</v>
      </c>
      <c r="H39" s="10">
        <f t="shared" si="3"/>
        <v>1.0600736089069074</v>
      </c>
      <c r="J39" s="32"/>
    </row>
    <row r="40" spans="2:10" x14ac:dyDescent="0.25">
      <c r="B40" s="20" t="str">
        <f>+'County Data'!$B$34</f>
        <v>Morrow</v>
      </c>
      <c r="C40" s="15">
        <f>VLOOKUP($B40,'County Data'!$B$10:$L$46,2,FALSE)</f>
        <v>12825</v>
      </c>
      <c r="D40" s="29">
        <f>VLOOKUP($B40,'County Data'!$B$10:$L$46,10,FALSE)</f>
        <v>0.15267839876232836</v>
      </c>
      <c r="E40" s="31">
        <f t="shared" si="0"/>
        <v>1958.1004641268612</v>
      </c>
      <c r="F40" s="6">
        <f t="shared" si="1"/>
        <v>4.943560506126958E-2</v>
      </c>
      <c r="G40" s="14">
        <f t="shared" si="2"/>
        <v>13438.245309155112</v>
      </c>
      <c r="H40" s="10">
        <f t="shared" si="3"/>
        <v>1.0478163983746676</v>
      </c>
      <c r="J40" s="32"/>
    </row>
    <row r="41" spans="2:10" x14ac:dyDescent="0.25">
      <c r="B41" s="4" t="s">
        <v>2</v>
      </c>
      <c r="C41" s="5">
        <f>SUM(C7:C40)</f>
        <v>940705</v>
      </c>
      <c r="D41" s="5"/>
      <c r="E41" s="5">
        <f>SUM(E7:E40)</f>
        <v>39609.11293995547</v>
      </c>
      <c r="F41" s="33">
        <f>SUM(F7:F40)</f>
        <v>0.99999999999999989</v>
      </c>
      <c r="G41" s="11">
        <f>SUM(G7:G40)</f>
        <v>271833.3333333332</v>
      </c>
      <c r="H41" s="12">
        <f t="shared" ref="H41" si="4">G41/C41</f>
        <v>0.28896767140956325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5" width="12.5703125" bestFit="1" customWidth="1"/>
    <col min="7" max="7" width="14.140625" customWidth="1"/>
    <col min="8" max="8" width="10.5703125" bestFit="1" customWidth="1"/>
    <col min="9" max="9" width="9.7109375" bestFit="1" customWidth="1"/>
    <col min="10" max="11" width="10.7109375" bestFit="1" customWidth="1"/>
    <col min="12" max="12" width="11.5703125" customWidth="1"/>
    <col min="14" max="14" width="11.5703125" bestFit="1" customWidth="1"/>
  </cols>
  <sheetData>
    <row r="3" spans="2:14" x14ac:dyDescent="0.25">
      <c r="B3" t="s">
        <v>0</v>
      </c>
      <c r="C3" s="1">
        <f>'County Data'!C5</f>
        <v>2000000</v>
      </c>
    </row>
    <row r="4" spans="2:14" x14ac:dyDescent="0.25">
      <c r="B4" t="s">
        <v>41</v>
      </c>
      <c r="C4" s="14">
        <f>'County Data'!L9</f>
        <v>0</v>
      </c>
    </row>
    <row r="6" spans="2:14" s="2" customFormat="1" ht="30" x14ac:dyDescent="0.25">
      <c r="B6" s="3" t="s">
        <v>7</v>
      </c>
      <c r="C6" s="3" t="s">
        <v>1</v>
      </c>
      <c r="D6" s="3" t="s">
        <v>123</v>
      </c>
      <c r="E6" s="3" t="s">
        <v>124</v>
      </c>
      <c r="F6" s="3" t="s">
        <v>109</v>
      </c>
      <c r="G6" s="3" t="s">
        <v>113</v>
      </c>
      <c r="H6" s="3" t="s">
        <v>33</v>
      </c>
      <c r="I6" s="3" t="s">
        <v>34</v>
      </c>
      <c r="J6" s="3" t="s">
        <v>106</v>
      </c>
      <c r="K6" s="13" t="s">
        <v>97</v>
      </c>
      <c r="L6" s="3" t="s">
        <v>108</v>
      </c>
    </row>
    <row r="7" spans="2:14" x14ac:dyDescent="0.25">
      <c r="B7" s="20" t="str">
        <f>'County Data'!$B$45</f>
        <v>Wheeler</v>
      </c>
      <c r="C7" s="15">
        <f>VLOOKUP($B7,'County Data'!$B$10:$P$46,2,FALSE)</f>
        <v>1440</v>
      </c>
      <c r="D7" s="45">
        <v>22900</v>
      </c>
      <c r="E7" s="45">
        <f>VLOOKUP($B7,'County Data'!$B$10:$P$46,11,FALSE)</f>
        <v>6791</v>
      </c>
      <c r="F7" s="38">
        <f>IFERROR((E7-D7)/D7,-1)</f>
        <v>-0.70344978165938865</v>
      </c>
      <c r="G7" s="72">
        <f>IF(F7&lt;0,0,$C$4*Input!$C$25/36)</f>
        <v>0</v>
      </c>
      <c r="H7" s="31">
        <f>IF(F7&lt;0,0,C7*F7)</f>
        <v>0</v>
      </c>
      <c r="I7" s="38">
        <f>H7/$H$41</f>
        <v>0</v>
      </c>
      <c r="J7" s="72">
        <f>($C$4-$G$41)*I7</f>
        <v>0</v>
      </c>
      <c r="K7" s="74">
        <f>G7+J7</f>
        <v>0</v>
      </c>
      <c r="L7" s="44">
        <f>K7/C7</f>
        <v>0</v>
      </c>
      <c r="N7" s="155"/>
    </row>
    <row r="8" spans="2:14" x14ac:dyDescent="0.25">
      <c r="B8" s="20" t="str">
        <f>+'County Data'!$B$42</f>
        <v>Wallowa</v>
      </c>
      <c r="C8" s="15">
        <f>VLOOKUP($B8,'County Data'!$B$10:$P$46,2,FALSE)</f>
        <v>0</v>
      </c>
      <c r="D8" s="84">
        <v>0</v>
      </c>
      <c r="E8" s="45">
        <f>VLOOKUP($B8,'County Data'!$B$10:$P$46,11,FALSE)</f>
        <v>0</v>
      </c>
      <c r="F8" s="29">
        <f>IFERROR((E8-D8)/D8,-1)</f>
        <v>-1</v>
      </c>
      <c r="G8" s="72">
        <f>IF(F8&lt;0,0,$C$4*Input!$C$25/36)</f>
        <v>0</v>
      </c>
      <c r="H8" s="31">
        <f t="shared" ref="H8:H40" si="0">IF(F8&lt;0,0,C8*F8)</f>
        <v>0</v>
      </c>
      <c r="I8" s="38">
        <f t="shared" ref="I8:I40" si="1">H8/$H$41</f>
        <v>0</v>
      </c>
      <c r="J8" s="72">
        <f t="shared" ref="J8:J40" si="2">($C$4-$G$41)*I8</f>
        <v>0</v>
      </c>
      <c r="K8" s="74">
        <f t="shared" ref="K8:K40" si="3">G8+J8</f>
        <v>0</v>
      </c>
      <c r="L8" s="44" t="e">
        <f t="shared" ref="L8:L40" si="4">K8/C8</f>
        <v>#DIV/0!</v>
      </c>
      <c r="N8" s="155"/>
    </row>
    <row r="9" spans="2:14" x14ac:dyDescent="0.25">
      <c r="B9" s="20" t="str">
        <f>+'County Data'!$B$22</f>
        <v>Harney</v>
      </c>
      <c r="C9" s="15">
        <f>VLOOKUP($B9,'County Data'!$B$10:$P$46,2,FALSE)</f>
        <v>7280</v>
      </c>
      <c r="D9" s="45">
        <v>96952</v>
      </c>
      <c r="E9" s="45">
        <f>VLOOKUP($B9,'County Data'!$B$10:$P$46,11,FALSE)</f>
        <v>172270</v>
      </c>
      <c r="F9" s="38">
        <f t="shared" ref="F9:F41" si="5">IFERROR((E9-D9)/D9,-1)</f>
        <v>0.77685865170393598</v>
      </c>
      <c r="G9" s="72">
        <f>IF(F9&lt;0,0,$C$4*Input!$C$25/36)</f>
        <v>0</v>
      </c>
      <c r="H9" s="31">
        <f>IF(F9&lt;0,0,C9*F9)</f>
        <v>5655.5309844046542</v>
      </c>
      <c r="I9" s="38">
        <f t="shared" si="1"/>
        <v>6.0267110912346341E-3</v>
      </c>
      <c r="J9" s="72">
        <f t="shared" si="2"/>
        <v>0</v>
      </c>
      <c r="K9" s="74">
        <f t="shared" si="3"/>
        <v>0</v>
      </c>
      <c r="L9" s="44">
        <f t="shared" si="4"/>
        <v>0</v>
      </c>
      <c r="N9" s="6"/>
    </row>
    <row r="10" spans="2:14" x14ac:dyDescent="0.25">
      <c r="B10" s="20" t="str">
        <f>+'County Data'!$B$21</f>
        <v>Grant</v>
      </c>
      <c r="C10" s="15">
        <f>VLOOKUP($B10,'County Data'!$B$10:$P$46,2,FALSE)</f>
        <v>7315</v>
      </c>
      <c r="D10" s="45">
        <v>73636</v>
      </c>
      <c r="E10" s="45">
        <f>VLOOKUP($B10,'County Data'!$B$10:$P$46,11,FALSE)</f>
        <v>0</v>
      </c>
      <c r="F10" s="38">
        <f t="shared" si="5"/>
        <v>-1</v>
      </c>
      <c r="G10" s="72">
        <f>IF(F10&lt;0,0,$C$4*Input!$C$25/36)</f>
        <v>0</v>
      </c>
      <c r="H10" s="31">
        <f t="shared" si="0"/>
        <v>0</v>
      </c>
      <c r="I10" s="38">
        <f t="shared" si="1"/>
        <v>0</v>
      </c>
      <c r="J10" s="72">
        <f t="shared" si="2"/>
        <v>0</v>
      </c>
      <c r="K10" s="74">
        <f t="shared" si="3"/>
        <v>0</v>
      </c>
      <c r="L10" s="44">
        <f t="shared" si="4"/>
        <v>0</v>
      </c>
      <c r="N10" s="155"/>
    </row>
    <row r="11" spans="2:14" x14ac:dyDescent="0.25">
      <c r="B11" s="20" t="str">
        <f>+'County Data'!$B$28</f>
        <v>Lake</v>
      </c>
      <c r="C11" s="15">
        <f>VLOOKUP($B11,'County Data'!$B$10:$P$46,2,FALSE)</f>
        <v>8075</v>
      </c>
      <c r="D11" s="45">
        <v>151267</v>
      </c>
      <c r="E11" s="45">
        <f>VLOOKUP($B11,'County Data'!$B$10:$P$46,11,FALSE)</f>
        <v>187877</v>
      </c>
      <c r="F11" s="38">
        <f t="shared" si="5"/>
        <v>0.24202238426094258</v>
      </c>
      <c r="G11" s="72">
        <f>IF(F11&lt;0,0,$C$4*Input!$C$25/36)</f>
        <v>0</v>
      </c>
      <c r="H11" s="31">
        <f t="shared" si="0"/>
        <v>1954.3307529071114</v>
      </c>
      <c r="I11" s="38">
        <f t="shared" si="1"/>
        <v>2.0825961093600279E-3</v>
      </c>
      <c r="J11" s="72">
        <f t="shared" si="2"/>
        <v>0</v>
      </c>
      <c r="K11" s="74">
        <f t="shared" si="3"/>
        <v>0</v>
      </c>
      <c r="L11" s="44">
        <f t="shared" si="4"/>
        <v>0</v>
      </c>
      <c r="N11" s="6"/>
    </row>
    <row r="12" spans="2:14" x14ac:dyDescent="0.25">
      <c r="B12" s="20" t="str">
        <f>+'County Data'!$B$34</f>
        <v>Morrow</v>
      </c>
      <c r="C12" s="15">
        <f>VLOOKUP($B12,'County Data'!$B$10:$P$46,2,FALSE)</f>
        <v>12825</v>
      </c>
      <c r="D12" s="45">
        <v>621474</v>
      </c>
      <c r="E12" s="45">
        <f>VLOOKUP($B12,'County Data'!$B$10:$P$46,11,FALSE)</f>
        <v>712823</v>
      </c>
      <c r="F12" s="38">
        <f t="shared" si="5"/>
        <v>0.14698764550085763</v>
      </c>
      <c r="G12" s="72">
        <f>IF(F12&lt;0,0,$C$4*Input!$C$25/36)</f>
        <v>0</v>
      </c>
      <c r="H12" s="31">
        <f t="shared" si="0"/>
        <v>1885.116553548499</v>
      </c>
      <c r="I12" s="38">
        <f t="shared" si="1"/>
        <v>2.0088392889844103E-3</v>
      </c>
      <c r="J12" s="72">
        <f t="shared" si="2"/>
        <v>0</v>
      </c>
      <c r="K12" s="74">
        <f t="shared" si="3"/>
        <v>0</v>
      </c>
      <c r="L12" s="44">
        <f t="shared" si="4"/>
        <v>0</v>
      </c>
      <c r="N12" s="6"/>
    </row>
    <row r="13" spans="2:14" x14ac:dyDescent="0.25">
      <c r="B13" s="20" t="str">
        <f>+'County Data'!$B$10</f>
        <v>Baker</v>
      </c>
      <c r="C13" s="15">
        <f>VLOOKUP($B13,'County Data'!$B$10:$P$46,2,FALSE)</f>
        <v>16910</v>
      </c>
      <c r="D13" s="45">
        <v>246676</v>
      </c>
      <c r="E13" s="45">
        <f>VLOOKUP($B13,'County Data'!$B$10:$P$46,11,FALSE)</f>
        <v>361764</v>
      </c>
      <c r="F13" s="38">
        <f t="shared" si="5"/>
        <v>0.46655531952845025</v>
      </c>
      <c r="G13" s="72">
        <f>IF(F13&lt;0,0,$C$4*Input!$C$25/36)</f>
        <v>0</v>
      </c>
      <c r="H13" s="31">
        <f t="shared" si="0"/>
        <v>7889.4504532260935</v>
      </c>
      <c r="I13" s="38">
        <f t="shared" si="1"/>
        <v>8.4072457000620663E-3</v>
      </c>
      <c r="J13" s="72">
        <f t="shared" si="2"/>
        <v>0</v>
      </c>
      <c r="K13" s="74">
        <f t="shared" si="3"/>
        <v>0</v>
      </c>
      <c r="L13" s="44">
        <f t="shared" si="4"/>
        <v>0</v>
      </c>
      <c r="N13" s="6"/>
    </row>
    <row r="14" spans="2:14" x14ac:dyDescent="0.25">
      <c r="B14" s="20" t="str">
        <f>+'County Data'!$B$16</f>
        <v>Crook</v>
      </c>
      <c r="C14" s="15">
        <f>VLOOKUP($B14,'County Data'!$B$10:$P$46,2,FALSE)</f>
        <v>23440</v>
      </c>
      <c r="D14" s="45">
        <v>622139</v>
      </c>
      <c r="E14" s="45">
        <f>VLOOKUP($B14,'County Data'!$B$10:$P$46,11,FALSE)</f>
        <v>1584688</v>
      </c>
      <c r="F14" s="38">
        <f t="shared" si="5"/>
        <v>1.5471606827413167</v>
      </c>
      <c r="G14" s="72">
        <f>IF(F14&lt;0,0,$C$4*Input!$C$25/36)</f>
        <v>0</v>
      </c>
      <c r="H14" s="31">
        <f t="shared" si="0"/>
        <v>36265.446403456466</v>
      </c>
      <c r="I14" s="38">
        <f t="shared" si="1"/>
        <v>3.8645596438420672E-2</v>
      </c>
      <c r="J14" s="72">
        <f t="shared" si="2"/>
        <v>0</v>
      </c>
      <c r="K14" s="74">
        <f t="shared" si="3"/>
        <v>0</v>
      </c>
      <c r="L14" s="44">
        <f t="shared" si="4"/>
        <v>0</v>
      </c>
      <c r="N14" s="6"/>
    </row>
    <row r="15" spans="2:14" x14ac:dyDescent="0.25">
      <c r="B15" s="20" t="str">
        <f>+'County Data'!$B$17</f>
        <v>Curry</v>
      </c>
      <c r="C15" s="15">
        <f>VLOOKUP($B15,'County Data'!$B$10:$P$46,2,FALSE)</f>
        <v>0</v>
      </c>
      <c r="D15" s="45">
        <v>144795</v>
      </c>
      <c r="E15" s="45">
        <f>VLOOKUP($B15,'County Data'!$B$10:$P$46,11,FALSE)</f>
        <v>703878</v>
      </c>
      <c r="F15" s="38">
        <f t="shared" si="5"/>
        <v>3.8612037708484408</v>
      </c>
      <c r="G15" s="72">
        <f>IF(F15&lt;0,0,$C$4*Input!$C$25/36)</f>
        <v>0</v>
      </c>
      <c r="H15" s="31">
        <f t="shared" si="0"/>
        <v>0</v>
      </c>
      <c r="I15" s="38">
        <f t="shared" si="1"/>
        <v>0</v>
      </c>
      <c r="J15" s="72">
        <f t="shared" si="2"/>
        <v>0</v>
      </c>
      <c r="K15" s="74">
        <f t="shared" si="3"/>
        <v>0</v>
      </c>
      <c r="L15" s="44" t="e">
        <f t="shared" si="4"/>
        <v>#DIV/0!</v>
      </c>
      <c r="N15" s="6"/>
    </row>
    <row r="16" spans="2:14" x14ac:dyDescent="0.25">
      <c r="B16" s="20" t="str">
        <f>+'County Data'!$B$25</f>
        <v>Jefferson</v>
      </c>
      <c r="C16" s="15">
        <f>VLOOKUP($B16,'County Data'!$B$10:$P$46,2,FALSE)</f>
        <v>24105</v>
      </c>
      <c r="D16" s="45">
        <v>566944</v>
      </c>
      <c r="E16" s="45">
        <f>VLOOKUP($B16,'County Data'!$B$10:$P$46,11,FALSE)</f>
        <v>261557</v>
      </c>
      <c r="F16" s="38">
        <f t="shared" si="5"/>
        <v>-0.53865461139019022</v>
      </c>
      <c r="G16" s="72">
        <f>IF(F16&lt;0,0,$C$4*Input!$C$25/36)</f>
        <v>0</v>
      </c>
      <c r="H16" s="31">
        <f t="shared" si="0"/>
        <v>0</v>
      </c>
      <c r="I16" s="38">
        <f t="shared" si="1"/>
        <v>0</v>
      </c>
      <c r="J16" s="72">
        <f t="shared" si="2"/>
        <v>0</v>
      </c>
      <c r="K16" s="74">
        <f t="shared" si="3"/>
        <v>0</v>
      </c>
      <c r="L16" s="44">
        <f t="shared" si="4"/>
        <v>0</v>
      </c>
      <c r="N16" s="155"/>
    </row>
    <row r="17" spans="2:14" x14ac:dyDescent="0.25">
      <c r="B17" s="20" t="str">
        <f>+'County Data'!$B$23</f>
        <v>Hood River</v>
      </c>
      <c r="C17" s="15">
        <f>VLOOKUP($B17,'County Data'!$B$10:$P$46,2,FALSE)</f>
        <v>25640</v>
      </c>
      <c r="D17" s="45">
        <v>822751</v>
      </c>
      <c r="E17" s="45">
        <f>VLOOKUP($B17,'County Data'!$B$10:$P$46,11,FALSE)</f>
        <v>729676</v>
      </c>
      <c r="F17" s="38">
        <f t="shared" si="5"/>
        <v>-0.11312657170881592</v>
      </c>
      <c r="G17" s="72">
        <f>IF(F17&lt;0,0,$C$4*Input!$C$25/36)</f>
        <v>0</v>
      </c>
      <c r="H17" s="31">
        <f t="shared" si="0"/>
        <v>0</v>
      </c>
      <c r="I17" s="38">
        <f t="shared" si="1"/>
        <v>0</v>
      </c>
      <c r="J17" s="72">
        <f t="shared" si="2"/>
        <v>0</v>
      </c>
      <c r="K17" s="74">
        <f t="shared" si="3"/>
        <v>0</v>
      </c>
      <c r="L17" s="44">
        <f t="shared" si="4"/>
        <v>0</v>
      </c>
      <c r="N17" s="155"/>
    </row>
    <row r="18" spans="2:14" x14ac:dyDescent="0.25">
      <c r="B18" s="20" t="str">
        <f>+'County Data'!$B$39</f>
        <v>Tillamook</v>
      </c>
      <c r="C18" s="15">
        <f>VLOOKUP($B18,'County Data'!$B$10:$P$46,2,FALSE)</f>
        <v>26530</v>
      </c>
      <c r="D18" s="45">
        <v>146840</v>
      </c>
      <c r="E18" s="45">
        <f>VLOOKUP($B18,'County Data'!$B$10:$P$46,11,FALSE)</f>
        <v>119798</v>
      </c>
      <c r="F18" s="38">
        <f t="shared" si="5"/>
        <v>-0.18415962952873877</v>
      </c>
      <c r="G18" s="72">
        <f>IF(F18&lt;0,0,$C$4*Input!$C$25/36)</f>
        <v>0</v>
      </c>
      <c r="H18" s="31">
        <f t="shared" si="0"/>
        <v>0</v>
      </c>
      <c r="I18" s="38">
        <f t="shared" si="1"/>
        <v>0</v>
      </c>
      <c r="J18" s="72">
        <f t="shared" si="2"/>
        <v>0</v>
      </c>
      <c r="K18" s="74">
        <f t="shared" si="3"/>
        <v>0</v>
      </c>
      <c r="L18" s="44">
        <f t="shared" si="4"/>
        <v>0</v>
      </c>
      <c r="N18" s="155"/>
    </row>
    <row r="19" spans="2:14" x14ac:dyDescent="0.25">
      <c r="B19" s="20" t="str">
        <f>+'County Data'!$B$41</f>
        <v>Union</v>
      </c>
      <c r="C19" s="15">
        <f>VLOOKUP($B19,'County Data'!$B$10:$P$46,2,FALSE)</f>
        <v>26840</v>
      </c>
      <c r="D19" s="45">
        <v>145000</v>
      </c>
      <c r="E19" s="45">
        <f>VLOOKUP($B19,'County Data'!$B$10:$P$46,11,FALSE)</f>
        <v>153290</v>
      </c>
      <c r="F19" s="38">
        <f t="shared" si="5"/>
        <v>5.7172413793103449E-2</v>
      </c>
      <c r="G19" s="72">
        <f>IF(F19&lt;0,0,$C$4*Input!$C$25/36)</f>
        <v>0</v>
      </c>
      <c r="H19" s="31">
        <f t="shared" si="0"/>
        <v>1534.5075862068966</v>
      </c>
      <c r="I19" s="38">
        <f t="shared" si="1"/>
        <v>1.6352193834457988E-3</v>
      </c>
      <c r="J19" s="72">
        <f t="shared" si="2"/>
        <v>0</v>
      </c>
      <c r="K19" s="74">
        <f t="shared" si="3"/>
        <v>0</v>
      </c>
      <c r="L19" s="44">
        <f t="shared" si="4"/>
        <v>0</v>
      </c>
      <c r="N19" s="6"/>
    </row>
    <row r="20" spans="2:14" x14ac:dyDescent="0.25">
      <c r="B20" s="20" t="str">
        <f>+'County Data'!$B$36</f>
        <v>Gilliam, Sherman, Wasco</v>
      </c>
      <c r="C20" s="15">
        <f>VLOOKUP($B20,'County Data'!$B$10:$P$46,2,FALSE)</f>
        <v>31080</v>
      </c>
      <c r="D20" s="45">
        <v>545643</v>
      </c>
      <c r="E20" s="45">
        <f>VLOOKUP($B20,'County Data'!$B$10:$P$46,11,FALSE)</f>
        <v>772441</v>
      </c>
      <c r="F20" s="38">
        <f t="shared" si="5"/>
        <v>0.41565272531673642</v>
      </c>
      <c r="G20" s="72">
        <f>IF(F20&lt;0,0,$C$4*Input!$C$25/36*3)</f>
        <v>0</v>
      </c>
      <c r="H20" s="31">
        <f t="shared" si="0"/>
        <v>12918.486702844168</v>
      </c>
      <c r="I20" s="38">
        <f t="shared" si="1"/>
        <v>1.3766344364249615E-2</v>
      </c>
      <c r="J20" s="72">
        <f t="shared" si="2"/>
        <v>0</v>
      </c>
      <c r="K20" s="74">
        <f t="shared" si="3"/>
        <v>0</v>
      </c>
      <c r="L20" s="44">
        <f t="shared" si="4"/>
        <v>0</v>
      </c>
      <c r="N20" s="6"/>
    </row>
    <row r="21" spans="2:14" x14ac:dyDescent="0.25">
      <c r="B21" s="20" t="str">
        <f>+'County Data'!$B$32</f>
        <v>Malheur</v>
      </c>
      <c r="C21" s="15">
        <f>VLOOKUP($B21,'County Data'!$B$10:$P$46,2,FALSE)</f>
        <v>32105</v>
      </c>
      <c r="D21" s="45">
        <v>489035</v>
      </c>
      <c r="E21" s="45">
        <f>VLOOKUP($B21,'County Data'!$B$10:$P$46,11,FALSE)</f>
        <v>474185</v>
      </c>
      <c r="F21" s="38">
        <f t="shared" si="5"/>
        <v>-3.0365924729313851E-2</v>
      </c>
      <c r="G21" s="72">
        <f>IF(F21&lt;0,0,$C$4*Input!$C$25/36)</f>
        <v>0</v>
      </c>
      <c r="H21" s="31">
        <f t="shared" si="0"/>
        <v>0</v>
      </c>
      <c r="I21" s="38">
        <f t="shared" si="1"/>
        <v>0</v>
      </c>
      <c r="J21" s="72">
        <f t="shared" si="2"/>
        <v>0</v>
      </c>
      <c r="K21" s="74">
        <f t="shared" si="3"/>
        <v>0</v>
      </c>
      <c r="L21" s="44">
        <f t="shared" si="4"/>
        <v>0</v>
      </c>
      <c r="N21" s="155"/>
    </row>
    <row r="22" spans="2:14" x14ac:dyDescent="0.25">
      <c r="B22" s="20" t="str">
        <f>+'County Data'!$B$13</f>
        <v>Clatsop</v>
      </c>
      <c r="C22" s="15">
        <f>VLOOKUP($B22,'County Data'!$B$10:$P$46,2,FALSE)</f>
        <v>39455</v>
      </c>
      <c r="D22" s="45">
        <v>431075</v>
      </c>
      <c r="E22" s="45">
        <f>VLOOKUP($B22,'County Data'!$B$10:$P$46,11,FALSE)</f>
        <v>446000</v>
      </c>
      <c r="F22" s="38">
        <f t="shared" si="5"/>
        <v>3.4622745461926577E-2</v>
      </c>
      <c r="G22" s="72">
        <f>IF(F22&lt;0,0,$C$4*Input!$C$25/36)</f>
        <v>0</v>
      </c>
      <c r="H22" s="31">
        <f t="shared" si="0"/>
        <v>1366.0404222003131</v>
      </c>
      <c r="I22" s="38">
        <f t="shared" si="1"/>
        <v>1.4556954928284442E-3</v>
      </c>
      <c r="J22" s="72">
        <f t="shared" si="2"/>
        <v>0</v>
      </c>
      <c r="K22" s="74">
        <f t="shared" si="3"/>
        <v>0</v>
      </c>
      <c r="L22" s="44">
        <f t="shared" si="4"/>
        <v>0</v>
      </c>
      <c r="N22" s="6"/>
    </row>
    <row r="23" spans="2:14" x14ac:dyDescent="0.25">
      <c r="B23" s="20" t="str">
        <f>+'County Data'!$B$30</f>
        <v>Lincoln</v>
      </c>
      <c r="C23" s="15">
        <f>VLOOKUP($B23,'County Data'!$B$10:$P$46,2,FALSE)</f>
        <v>0</v>
      </c>
      <c r="D23" s="45">
        <v>307500</v>
      </c>
      <c r="E23" s="45">
        <f>VLOOKUP($B23,'County Data'!$B$10:$P$46,11,FALSE)</f>
        <v>1458472</v>
      </c>
      <c r="F23" s="38">
        <f t="shared" si="5"/>
        <v>3.74299837398374</v>
      </c>
      <c r="G23" s="72">
        <f>IF(F23&lt;0,0,$C$4*Input!$C$25/36)</f>
        <v>0</v>
      </c>
      <c r="H23" s="31">
        <f t="shared" si="0"/>
        <v>0</v>
      </c>
      <c r="I23" s="38">
        <f t="shared" si="1"/>
        <v>0</v>
      </c>
      <c r="J23" s="72">
        <f t="shared" si="2"/>
        <v>0</v>
      </c>
      <c r="K23" s="74">
        <f t="shared" si="3"/>
        <v>0</v>
      </c>
      <c r="L23" s="44" t="e">
        <f t="shared" si="4"/>
        <v>#DIV/0!</v>
      </c>
      <c r="N23" s="6"/>
    </row>
    <row r="24" spans="2:14" x14ac:dyDescent="0.25">
      <c r="B24" s="20" t="str">
        <f>+'County Data'!$B$14</f>
        <v>Columbia</v>
      </c>
      <c r="C24" s="15">
        <f>VLOOKUP($B24,'County Data'!$B$10:$P$46,2,FALSE)</f>
        <v>53280</v>
      </c>
      <c r="D24" s="45">
        <v>144489</v>
      </c>
      <c r="E24" s="45">
        <f>VLOOKUP($B24,'County Data'!$B$10:$P$46,11,FALSE)</f>
        <v>615328</v>
      </c>
      <c r="F24" s="38">
        <f t="shared" si="5"/>
        <v>3.258649447362775</v>
      </c>
      <c r="G24" s="72">
        <f>IF(F24&lt;0,0,$C$4*Input!$C$25/36)</f>
        <v>0</v>
      </c>
      <c r="H24" s="31">
        <f t="shared" si="0"/>
        <v>173620.84255548866</v>
      </c>
      <c r="I24" s="38">
        <f t="shared" si="1"/>
        <v>0.18501581202261136</v>
      </c>
      <c r="J24" s="72">
        <f t="shared" si="2"/>
        <v>0</v>
      </c>
      <c r="K24" s="74">
        <f t="shared" si="3"/>
        <v>0</v>
      </c>
      <c r="L24" s="44">
        <f t="shared" si="4"/>
        <v>0</v>
      </c>
      <c r="N24" s="6"/>
    </row>
    <row r="25" spans="2:14" x14ac:dyDescent="0.25">
      <c r="B25" s="20" t="str">
        <f>+'County Data'!$B$15</f>
        <v>Coos</v>
      </c>
      <c r="C25" s="15">
        <f>VLOOKUP($B25,'County Data'!$B$10:$P$46,2,FALSE)</f>
        <v>63315</v>
      </c>
      <c r="D25" s="45">
        <v>52178</v>
      </c>
      <c r="E25" s="45">
        <f>VLOOKUP($B25,'County Data'!$B$10:$P$46,11,FALSE)</f>
        <v>332653</v>
      </c>
      <c r="F25" s="38">
        <f t="shared" si="5"/>
        <v>5.3753497642684653</v>
      </c>
      <c r="G25" s="72">
        <f>IF(F25&lt;0,0,$C$4*Input!$C$25/36)</f>
        <v>0</v>
      </c>
      <c r="H25" s="31">
        <f t="shared" si="0"/>
        <v>340340.2703246579</v>
      </c>
      <c r="I25" s="38">
        <f t="shared" si="1"/>
        <v>0.3626772601220799</v>
      </c>
      <c r="J25" s="72">
        <f t="shared" si="2"/>
        <v>0</v>
      </c>
      <c r="K25" s="74">
        <f t="shared" si="3"/>
        <v>0</v>
      </c>
      <c r="L25" s="44">
        <f t="shared" si="4"/>
        <v>0</v>
      </c>
      <c r="N25" s="6"/>
    </row>
    <row r="26" spans="2:14" x14ac:dyDescent="0.25">
      <c r="B26" s="20" t="str">
        <f>+'County Data'!$B$27</f>
        <v>Klamath</v>
      </c>
      <c r="C26" s="15">
        <f>VLOOKUP($B26,'County Data'!$B$10:$P$46,2,FALSE)</f>
        <v>68075</v>
      </c>
      <c r="D26" s="45">
        <v>232280</v>
      </c>
      <c r="E26" s="45">
        <f>VLOOKUP($B26,'County Data'!$B$10:$P$46,11,FALSE)</f>
        <v>542426</v>
      </c>
      <c r="F26" s="38">
        <f t="shared" si="5"/>
        <v>1.3352247287756156</v>
      </c>
      <c r="G26" s="72">
        <f>IF(F26&lt;0,0,$C$4*Input!$C$25/36)</f>
        <v>0</v>
      </c>
      <c r="H26" s="31">
        <f t="shared" si="0"/>
        <v>90895.423411400028</v>
      </c>
      <c r="I26" s="38">
        <f t="shared" si="1"/>
        <v>9.6861012330501553E-2</v>
      </c>
      <c r="J26" s="72">
        <f t="shared" si="2"/>
        <v>0</v>
      </c>
      <c r="K26" s="74">
        <f t="shared" si="3"/>
        <v>0</v>
      </c>
      <c r="L26" s="44">
        <f t="shared" si="4"/>
        <v>0</v>
      </c>
      <c r="N26" s="6"/>
    </row>
    <row r="27" spans="2:14" x14ac:dyDescent="0.25">
      <c r="B27" s="20" t="str">
        <f>+'County Data'!$B$40</f>
        <v>Umatilla</v>
      </c>
      <c r="C27" s="15">
        <f>VLOOKUP($B27,'County Data'!$B$10:$P$46,2,FALSE)</f>
        <v>81495</v>
      </c>
      <c r="D27" s="45">
        <v>386278</v>
      </c>
      <c r="E27" s="45">
        <f>VLOOKUP($B27,'County Data'!$B$10:$P$46,11,FALSE)</f>
        <v>532317</v>
      </c>
      <c r="F27" s="38">
        <f t="shared" si="5"/>
        <v>0.37806709157653295</v>
      </c>
      <c r="G27" s="72">
        <f>IF(F27&lt;0,0,$C$4*Input!$C$25/36)</f>
        <v>0</v>
      </c>
      <c r="H27" s="31">
        <f t="shared" si="0"/>
        <v>30810.577628029554</v>
      </c>
      <c r="I27" s="38">
        <f t="shared" si="1"/>
        <v>3.283271728688765E-2</v>
      </c>
      <c r="J27" s="72">
        <f t="shared" si="2"/>
        <v>0</v>
      </c>
      <c r="K27" s="74">
        <f t="shared" si="3"/>
        <v>0</v>
      </c>
      <c r="L27" s="44">
        <f t="shared" si="4"/>
        <v>0</v>
      </c>
      <c r="N27" s="6"/>
    </row>
    <row r="28" spans="2:14" x14ac:dyDescent="0.25">
      <c r="B28" s="20" t="str">
        <f>+'County Data'!$B$37</f>
        <v>Polk</v>
      </c>
      <c r="C28" s="15">
        <f>VLOOKUP($B28,'County Data'!$B$10:$P$46,2,FALSE)</f>
        <v>83805</v>
      </c>
      <c r="D28" s="45">
        <v>251759</v>
      </c>
      <c r="E28" s="45">
        <f>VLOOKUP($B28,'County Data'!$B$10:$P$46,11,FALSE)</f>
        <v>291010</v>
      </c>
      <c r="F28" s="38">
        <f t="shared" si="5"/>
        <v>0.15590703808006864</v>
      </c>
      <c r="G28" s="72">
        <f>IF(F28&lt;0,0,$C$4*Input!$C$25/36)</f>
        <v>0</v>
      </c>
      <c r="H28" s="31">
        <f t="shared" si="0"/>
        <v>13065.789326300153</v>
      </c>
      <c r="I28" s="38">
        <f t="shared" si="1"/>
        <v>1.3923314657047612E-2</v>
      </c>
      <c r="J28" s="72">
        <f t="shared" si="2"/>
        <v>0</v>
      </c>
      <c r="K28" s="74">
        <f t="shared" si="3"/>
        <v>0</v>
      </c>
      <c r="L28" s="44">
        <f t="shared" si="4"/>
        <v>0</v>
      </c>
      <c r="N28" s="6"/>
    </row>
    <row r="29" spans="2:14" x14ac:dyDescent="0.25">
      <c r="B29" s="20" t="str">
        <f>+'County Data'!$B$26</f>
        <v>Josephine</v>
      </c>
      <c r="C29" s="15">
        <f>VLOOKUP($B29,'County Data'!$B$10:$P$46,2,FALSE)</f>
        <v>86560</v>
      </c>
      <c r="D29" s="45">
        <v>364715</v>
      </c>
      <c r="E29" s="45">
        <f>VLOOKUP($B29,'County Data'!$B$10:$P$46,11,FALSE)</f>
        <v>657998</v>
      </c>
      <c r="F29" s="38">
        <f t="shared" si="5"/>
        <v>0.80414296094210547</v>
      </c>
      <c r="G29" s="72">
        <f>IF(F29&lt;0,0,$C$4*Input!$C$25/36)</f>
        <v>0</v>
      </c>
      <c r="H29" s="31">
        <f t="shared" si="0"/>
        <v>69606.614699148646</v>
      </c>
      <c r="I29" s="38">
        <f t="shared" si="1"/>
        <v>7.4174990462865381E-2</v>
      </c>
      <c r="J29" s="72">
        <f t="shared" si="2"/>
        <v>0</v>
      </c>
      <c r="K29" s="74">
        <f t="shared" si="3"/>
        <v>0</v>
      </c>
      <c r="L29" s="44">
        <f t="shared" si="4"/>
        <v>0</v>
      </c>
      <c r="N29" s="6"/>
    </row>
    <row r="30" spans="2:14" x14ac:dyDescent="0.25">
      <c r="B30" s="20" t="str">
        <f>+'County Data'!$B$11</f>
        <v>Benton</v>
      </c>
      <c r="C30" s="15">
        <f>VLOOKUP($B30,'County Data'!$B$10:$P$46,2,FALSE)</f>
        <v>0</v>
      </c>
      <c r="D30" s="45">
        <v>2090815</v>
      </c>
      <c r="E30" s="45">
        <f>VLOOKUP($B30,'County Data'!$B$10:$P$46,11,FALSE)</f>
        <v>1791995</v>
      </c>
      <c r="F30" s="38">
        <f t="shared" si="5"/>
        <v>-0.14292034445897892</v>
      </c>
      <c r="G30" s="72">
        <f>IF(F30&lt;0,0,$C$4*Input!$C$25/36)</f>
        <v>0</v>
      </c>
      <c r="H30" s="31">
        <f t="shared" si="0"/>
        <v>0</v>
      </c>
      <c r="I30" s="38">
        <f t="shared" si="1"/>
        <v>0</v>
      </c>
      <c r="J30" s="72">
        <f t="shared" si="2"/>
        <v>0</v>
      </c>
      <c r="K30" s="74">
        <f t="shared" si="3"/>
        <v>0</v>
      </c>
      <c r="L30" s="44" t="e">
        <f t="shared" si="4"/>
        <v>#DIV/0!</v>
      </c>
      <c r="N30" s="155"/>
    </row>
    <row r="31" spans="2:14" x14ac:dyDescent="0.25">
      <c r="B31" s="20" t="str">
        <f>+'County Data'!$B$46</f>
        <v>Yamhill</v>
      </c>
      <c r="C31" s="15">
        <f>VLOOKUP($B31,'County Data'!$B$10:$P$46,2,FALSE)</f>
        <v>108605</v>
      </c>
      <c r="D31" s="45">
        <v>650791</v>
      </c>
      <c r="E31" s="45">
        <f>VLOOKUP($B31,'County Data'!$B$10:$P$46,11,FALSE)</f>
        <v>1553242</v>
      </c>
      <c r="F31" s="38">
        <f t="shared" si="5"/>
        <v>1.3866986482603478</v>
      </c>
      <c r="G31" s="72">
        <f>IF(F31&lt;0,0,$C$4*Input!$C$25/36)</f>
        <v>0</v>
      </c>
      <c r="H31" s="31">
        <f t="shared" si="0"/>
        <v>150602.40669431508</v>
      </c>
      <c r="I31" s="38">
        <f t="shared" si="1"/>
        <v>0.16048664524942088</v>
      </c>
      <c r="J31" s="72">
        <f t="shared" si="2"/>
        <v>0</v>
      </c>
      <c r="K31" s="74">
        <f t="shared" si="3"/>
        <v>0</v>
      </c>
      <c r="L31" s="44">
        <f t="shared" si="4"/>
        <v>0</v>
      </c>
      <c r="N31" s="6"/>
    </row>
    <row r="32" spans="2:14" x14ac:dyDescent="0.25">
      <c r="B32" s="20" t="str">
        <f>+'County Data'!$B$19</f>
        <v>Douglas</v>
      </c>
      <c r="C32" s="15">
        <f>VLOOKUP($B32,'County Data'!$B$10:$P$46,2,FALSE)</f>
        <v>112530</v>
      </c>
      <c r="D32" s="45">
        <v>671902</v>
      </c>
      <c r="E32" s="45">
        <f>VLOOKUP($B32,'County Data'!$B$10:$P$46,11,FALSE)</f>
        <v>444652</v>
      </c>
      <c r="F32" s="38">
        <f t="shared" si="5"/>
        <v>-0.33821896645641775</v>
      </c>
      <c r="G32" s="72">
        <f>IF(F32&lt;0,0,$C$4*Input!$C$25/36)</f>
        <v>0</v>
      </c>
      <c r="H32" s="31">
        <f t="shared" si="0"/>
        <v>0</v>
      </c>
      <c r="I32" s="38">
        <f t="shared" si="1"/>
        <v>0</v>
      </c>
      <c r="J32" s="72">
        <f t="shared" si="2"/>
        <v>0</v>
      </c>
      <c r="K32" s="74">
        <f t="shared" si="3"/>
        <v>0</v>
      </c>
      <c r="L32" s="44">
        <f t="shared" si="4"/>
        <v>0</v>
      </c>
      <c r="N32" s="155"/>
    </row>
    <row r="33" spans="2:14" x14ac:dyDescent="0.25">
      <c r="B33" s="20" t="str">
        <f>+'County Data'!$B$31</f>
        <v>Linn</v>
      </c>
      <c r="C33" s="15">
        <f>VLOOKUP($B33,'County Data'!$B$10:$P$46,2,FALSE)</f>
        <v>0</v>
      </c>
      <c r="D33" s="45">
        <v>651346</v>
      </c>
      <c r="E33" s="45">
        <f>VLOOKUP($B33,'County Data'!$B$10:$P$46,11,FALSE)</f>
        <v>1327242</v>
      </c>
      <c r="F33" s="38">
        <f t="shared" si="5"/>
        <v>1.0376911810312799</v>
      </c>
      <c r="G33" s="72">
        <f>IF(F33&lt;0,0,$C$4*Input!$C$25/36)</f>
        <v>0</v>
      </c>
      <c r="H33" s="31">
        <f t="shared" si="0"/>
        <v>0</v>
      </c>
      <c r="I33" s="38">
        <f t="shared" si="1"/>
        <v>0</v>
      </c>
      <c r="J33" s="72">
        <f t="shared" si="2"/>
        <v>0</v>
      </c>
      <c r="K33" s="74">
        <f t="shared" si="3"/>
        <v>0</v>
      </c>
      <c r="L33" s="44" t="e">
        <f t="shared" si="4"/>
        <v>#DIV/0!</v>
      </c>
      <c r="N33" s="6"/>
    </row>
    <row r="34" spans="2:14" x14ac:dyDescent="0.25">
      <c r="B34" s="20" t="str">
        <f>+'County Data'!$B$18</f>
        <v>Deschutes</v>
      </c>
      <c r="C34" s="15">
        <f>VLOOKUP($B34,'County Data'!$B$10:$P$46,2,FALSE)</f>
        <v>0</v>
      </c>
      <c r="D34" s="45">
        <v>2968217</v>
      </c>
      <c r="E34" s="45">
        <f>VLOOKUP($B34,'County Data'!$B$10:$P$46,11,FALSE)</f>
        <v>3814900</v>
      </c>
      <c r="F34" s="38">
        <f t="shared" si="5"/>
        <v>0.28524969704034442</v>
      </c>
      <c r="G34" s="72">
        <f>IF(F34&lt;0,0,$C$4*Input!$C$25/36)</f>
        <v>0</v>
      </c>
      <c r="H34" s="31">
        <f t="shared" si="0"/>
        <v>0</v>
      </c>
      <c r="I34" s="38">
        <f t="shared" si="1"/>
        <v>0</v>
      </c>
      <c r="J34" s="72">
        <f t="shared" si="2"/>
        <v>0</v>
      </c>
      <c r="K34" s="74">
        <f t="shared" si="3"/>
        <v>0</v>
      </c>
      <c r="L34" s="44" t="e">
        <f t="shared" si="4"/>
        <v>#DIV/0!</v>
      </c>
      <c r="N34" s="6"/>
    </row>
    <row r="35" spans="2:14" x14ac:dyDescent="0.25">
      <c r="B35" s="20" t="str">
        <f>+'County Data'!$B$24</f>
        <v>Jackson</v>
      </c>
      <c r="C35" s="15">
        <f>VLOOKUP($B35,'County Data'!$B$10:$P$46,2,FALSE)</f>
        <v>0</v>
      </c>
      <c r="D35" s="45">
        <v>670465</v>
      </c>
      <c r="E35" s="45">
        <f>VLOOKUP($B35,'County Data'!$B$10:$P$46,11,FALSE)</f>
        <v>2298330</v>
      </c>
      <c r="F35" s="38">
        <f t="shared" si="5"/>
        <v>2.4279641741179629</v>
      </c>
      <c r="G35" s="72">
        <f>IF(F35&lt;0,0,$C$4*Input!$C$25/36)</f>
        <v>0</v>
      </c>
      <c r="H35" s="31">
        <f t="shared" si="0"/>
        <v>0</v>
      </c>
      <c r="I35" s="38">
        <f t="shared" si="1"/>
        <v>0</v>
      </c>
      <c r="J35" s="72">
        <f t="shared" si="2"/>
        <v>0</v>
      </c>
      <c r="K35" s="74">
        <f t="shared" si="3"/>
        <v>0</v>
      </c>
      <c r="L35" s="44" t="e">
        <f t="shared" si="4"/>
        <v>#DIV/0!</v>
      </c>
      <c r="N35" s="6"/>
    </row>
    <row r="36" spans="2:14" x14ac:dyDescent="0.25">
      <c r="B36" s="20" t="str">
        <f>+'County Data'!$B$33</f>
        <v>Marion</v>
      </c>
      <c r="C36" s="15">
        <f>VLOOKUP($B36,'County Data'!$B$10:$P$46,2,FALSE)</f>
        <v>0</v>
      </c>
      <c r="D36" s="45">
        <v>2152253</v>
      </c>
      <c r="E36" s="45">
        <f>VLOOKUP($B36,'County Data'!$B$10:$P$46,11,FALSE)</f>
        <v>4647307</v>
      </c>
      <c r="F36" s="38">
        <f t="shared" si="5"/>
        <v>1.1592754197578072</v>
      </c>
      <c r="G36" s="72">
        <f>IF(F36&lt;0,0,$C$4*Input!$C$25/36)</f>
        <v>0</v>
      </c>
      <c r="H36" s="31">
        <f t="shared" si="0"/>
        <v>0</v>
      </c>
      <c r="I36" s="38">
        <f t="shared" si="1"/>
        <v>0</v>
      </c>
      <c r="J36" s="72">
        <f t="shared" si="2"/>
        <v>0</v>
      </c>
      <c r="K36" s="74">
        <f t="shared" si="3"/>
        <v>0</v>
      </c>
      <c r="L36" s="44" t="e">
        <f t="shared" si="4"/>
        <v>#DIV/0!</v>
      </c>
      <c r="N36" s="6"/>
    </row>
    <row r="37" spans="2:14" x14ac:dyDescent="0.25">
      <c r="B37" s="20" t="str">
        <f>+'County Data'!$B$29</f>
        <v>Lane</v>
      </c>
      <c r="C37" s="15">
        <f>VLOOKUP($B37,'County Data'!$B$10:$P$46,2,FALSE)</f>
        <v>0</v>
      </c>
      <c r="D37" s="45">
        <v>1716536</v>
      </c>
      <c r="E37" s="45">
        <f>VLOOKUP($B37,'County Data'!$B$10:$P$46,11,FALSE)</f>
        <v>4024080</v>
      </c>
      <c r="F37" s="38">
        <f t="shared" si="5"/>
        <v>1.3443027119734163</v>
      </c>
      <c r="G37" s="72">
        <f>IF(F37&lt;0,0,$C$4*Input!$C$25/36)</f>
        <v>0</v>
      </c>
      <c r="H37" s="31">
        <f t="shared" si="0"/>
        <v>0</v>
      </c>
      <c r="I37" s="38">
        <f t="shared" si="1"/>
        <v>0</v>
      </c>
      <c r="J37" s="72">
        <f t="shared" si="2"/>
        <v>0</v>
      </c>
      <c r="K37" s="74">
        <f t="shared" si="3"/>
        <v>0</v>
      </c>
      <c r="L37" s="44" t="e">
        <f t="shared" si="4"/>
        <v>#DIV/0!</v>
      </c>
      <c r="N37" s="6"/>
    </row>
    <row r="38" spans="2:14" x14ac:dyDescent="0.25">
      <c r="B38" s="20" t="str">
        <f>+'County Data'!$B$12</f>
        <v>Clackamas</v>
      </c>
      <c r="C38" s="15">
        <f>VLOOKUP($B38,'County Data'!$B$10:$P$46,2,FALSE)</f>
        <v>0</v>
      </c>
      <c r="D38" s="45">
        <v>1965745</v>
      </c>
      <c r="E38" s="45">
        <f>VLOOKUP($B38,'County Data'!$B$10:$P$46,11,FALSE)</f>
        <v>5019520</v>
      </c>
      <c r="F38" s="38">
        <f t="shared" si="5"/>
        <v>1.5534949853617839</v>
      </c>
      <c r="G38" s="72">
        <f>IF(F38&lt;0,0,$C$4*Input!$C$25/36)</f>
        <v>0</v>
      </c>
      <c r="H38" s="31">
        <f t="shared" si="0"/>
        <v>0</v>
      </c>
      <c r="I38" s="38">
        <f t="shared" si="1"/>
        <v>0</v>
      </c>
      <c r="J38" s="72">
        <f t="shared" si="2"/>
        <v>0</v>
      </c>
      <c r="K38" s="74">
        <f t="shared" si="3"/>
        <v>0</v>
      </c>
      <c r="L38" s="44" t="e">
        <f t="shared" si="4"/>
        <v>#DIV/0!</v>
      </c>
      <c r="N38" s="6"/>
    </row>
    <row r="39" spans="2:14" x14ac:dyDescent="0.25">
      <c r="B39" s="20" t="str">
        <f>+'County Data'!$B$44</f>
        <v>Washington</v>
      </c>
      <c r="C39" s="15">
        <f>VLOOKUP($B39,'County Data'!$B$10:$P$46,2,FALSE)</f>
        <v>0</v>
      </c>
      <c r="D39" s="45">
        <v>4800731</v>
      </c>
      <c r="E39" s="45">
        <f>VLOOKUP($B39,'County Data'!$B$10:$P$46,11,FALSE)</f>
        <v>8674852</v>
      </c>
      <c r="F39" s="38">
        <f t="shared" si="5"/>
        <v>0.806985644477893</v>
      </c>
      <c r="G39" s="72">
        <f>IF(F39&lt;0,0,$C$4*Input!$C$25/36)</f>
        <v>0</v>
      </c>
      <c r="H39" s="31">
        <f t="shared" si="0"/>
        <v>0</v>
      </c>
      <c r="I39" s="38">
        <f t="shared" si="1"/>
        <v>0</v>
      </c>
      <c r="J39" s="72">
        <f t="shared" si="2"/>
        <v>0</v>
      </c>
      <c r="K39" s="74">
        <f t="shared" si="3"/>
        <v>0</v>
      </c>
      <c r="L39" s="44" t="e">
        <f t="shared" si="4"/>
        <v>#DIV/0!</v>
      </c>
      <c r="N39" s="6"/>
    </row>
    <row r="40" spans="2:14" x14ac:dyDescent="0.25">
      <c r="B40" s="20" t="str">
        <f>+'County Data'!$B$35</f>
        <v>Multnomah</v>
      </c>
      <c r="C40" s="15">
        <f>VLOOKUP($B40,'County Data'!$B$10:$P$46,2,FALSE)</f>
        <v>0</v>
      </c>
      <c r="D40" s="45">
        <v>43542723</v>
      </c>
      <c r="E40" s="45">
        <f>VLOOKUP($B40,'County Data'!$B$10:$P$46,11,FALSE)</f>
        <v>25329190</v>
      </c>
      <c r="F40" s="38">
        <f t="shared" si="5"/>
        <v>-0.41829108850174573</v>
      </c>
      <c r="G40" s="72">
        <f>IF(F40&lt;0,0,$C$4*Input!$C$25/36)</f>
        <v>0</v>
      </c>
      <c r="H40" s="31">
        <f t="shared" si="0"/>
        <v>0</v>
      </c>
      <c r="I40" s="38">
        <f t="shared" si="1"/>
        <v>0</v>
      </c>
      <c r="J40" s="72">
        <f t="shared" si="2"/>
        <v>0</v>
      </c>
      <c r="K40" s="74">
        <f t="shared" si="3"/>
        <v>0</v>
      </c>
      <c r="L40" s="44" t="e">
        <f t="shared" si="4"/>
        <v>#DIV/0!</v>
      </c>
      <c r="N40" s="155"/>
    </row>
    <row r="41" spans="2:14" x14ac:dyDescent="0.25">
      <c r="B41" s="4" t="s">
        <v>2</v>
      </c>
      <c r="C41" s="5">
        <f>SUM(C7:C40)</f>
        <v>940705</v>
      </c>
      <c r="D41" s="71">
        <f>SUM(D7:D40)</f>
        <v>68747850</v>
      </c>
      <c r="E41" s="71">
        <f>SUM(E7:E40)</f>
        <v>70042552</v>
      </c>
      <c r="F41" s="21">
        <f t="shared" si="5"/>
        <v>1.8832618038236833E-2</v>
      </c>
      <c r="G41" s="71">
        <f>SUM(G7:G40)</f>
        <v>0</v>
      </c>
      <c r="H41" s="5">
        <f>SUM(H7:H40)</f>
        <v>938410.83449813421</v>
      </c>
      <c r="I41" s="21">
        <f>SUM(I7:I40)</f>
        <v>1</v>
      </c>
      <c r="J41" s="71">
        <f>SUM(J7:J40)</f>
        <v>0</v>
      </c>
      <c r="K41" s="71">
        <f t="shared" ref="K41" si="6">SUM(K7:K40)</f>
        <v>0</v>
      </c>
      <c r="L41" s="70">
        <f>K41/C41</f>
        <v>0</v>
      </c>
    </row>
  </sheetData>
  <sortState xmlns:xlrd2="http://schemas.microsoft.com/office/spreadsheetml/2017/richdata2" ref="B7:H40">
    <sortCondition ref="C7:C40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2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5.7109375" bestFit="1" customWidth="1"/>
    <col min="5" max="5" width="11.5703125" bestFit="1" customWidth="1"/>
    <col min="6" max="6" width="10.7109375" bestFit="1" customWidth="1"/>
    <col min="7" max="7" width="11.5703125" bestFit="1" customWidth="1"/>
    <col min="8" max="8" width="10" bestFit="1" customWidth="1"/>
    <col min="9" max="10" width="9.140625" hidden="1" customWidth="1"/>
    <col min="11" max="12" width="10.7109375" hidden="1" customWidth="1"/>
    <col min="13" max="15" width="9.140625" hidden="1" customWidth="1"/>
    <col min="16" max="17" width="10.7109375" hidden="1" customWidth="1"/>
    <col min="18" max="20" width="9.140625" hidden="1" customWidth="1"/>
    <col min="21" max="22" width="10.7109375" hidden="1" customWidth="1"/>
    <col min="23" max="23" width="9.140625" hidden="1" customWidth="1"/>
    <col min="24" max="24" width="11.140625" bestFit="1" customWidth="1"/>
    <col min="25" max="25" width="10.5703125" bestFit="1" customWidth="1"/>
  </cols>
  <sheetData>
    <row r="2" spans="2:25" x14ac:dyDescent="0.25">
      <c r="B2" t="s">
        <v>0</v>
      </c>
      <c r="C2" s="1">
        <f>'County Data'!C5</f>
        <v>2000000</v>
      </c>
    </row>
    <row r="3" spans="2:25" x14ac:dyDescent="0.25">
      <c r="B3" t="s">
        <v>41</v>
      </c>
      <c r="C3" s="14">
        <f>$C$2*Input!$C$27</f>
        <v>0</v>
      </c>
    </row>
    <row r="4" spans="2:25" x14ac:dyDescent="0.25">
      <c r="D4" s="22"/>
      <c r="E4" s="69">
        <f>Input!$D$30</f>
        <v>0</v>
      </c>
      <c r="J4" s="69">
        <f>Input!$D$31</f>
        <v>0</v>
      </c>
      <c r="O4" s="69">
        <f>Input!$D$32</f>
        <v>0</v>
      </c>
      <c r="T4" s="69">
        <f>Input!$D$33</f>
        <v>0</v>
      </c>
    </row>
    <row r="5" spans="2:25" x14ac:dyDescent="0.25">
      <c r="D5" s="219" t="s">
        <v>94</v>
      </c>
      <c r="E5" s="219"/>
      <c r="F5" s="219"/>
      <c r="G5" s="219"/>
      <c r="H5" s="219"/>
      <c r="I5" s="220" t="s">
        <v>98</v>
      </c>
      <c r="J5" s="220"/>
      <c r="K5" s="220"/>
      <c r="L5" s="220"/>
      <c r="M5" s="220"/>
      <c r="N5" s="219" t="s">
        <v>99</v>
      </c>
      <c r="O5" s="219"/>
      <c r="P5" s="219"/>
      <c r="Q5" s="219"/>
      <c r="R5" s="219"/>
      <c r="S5" s="220" t="s">
        <v>100</v>
      </c>
      <c r="T5" s="220"/>
      <c r="U5" s="220"/>
      <c r="V5" s="220"/>
      <c r="W5" s="220"/>
    </row>
    <row r="6" spans="2:25" s="2" customFormat="1" ht="30" x14ac:dyDescent="0.25">
      <c r="B6" s="3" t="s">
        <v>7</v>
      </c>
      <c r="C6" s="3" t="s">
        <v>1</v>
      </c>
      <c r="D6" s="3" t="s">
        <v>95</v>
      </c>
      <c r="E6" s="3" t="s">
        <v>96</v>
      </c>
      <c r="F6" s="3" t="s">
        <v>105</v>
      </c>
      <c r="G6" s="3" t="s">
        <v>106</v>
      </c>
      <c r="H6" s="3" t="s">
        <v>97</v>
      </c>
      <c r="I6" s="3" t="s">
        <v>95</v>
      </c>
      <c r="J6" s="3" t="s">
        <v>96</v>
      </c>
      <c r="K6" s="3" t="s">
        <v>105</v>
      </c>
      <c r="L6" s="3" t="s">
        <v>106</v>
      </c>
      <c r="M6" s="3" t="s">
        <v>97</v>
      </c>
      <c r="N6" s="3" t="s">
        <v>95</v>
      </c>
      <c r="O6" s="3" t="s">
        <v>96</v>
      </c>
      <c r="P6" s="3" t="s">
        <v>105</v>
      </c>
      <c r="Q6" s="3" t="s">
        <v>106</v>
      </c>
      <c r="R6" s="3" t="s">
        <v>97</v>
      </c>
      <c r="S6" s="3" t="s">
        <v>95</v>
      </c>
      <c r="T6" s="3" t="s">
        <v>96</v>
      </c>
      <c r="U6" s="3" t="s">
        <v>105</v>
      </c>
      <c r="V6" s="3" t="s">
        <v>106</v>
      </c>
      <c r="W6" s="3" t="s">
        <v>97</v>
      </c>
      <c r="X6" s="13" t="s">
        <v>107</v>
      </c>
      <c r="Y6" s="3" t="s">
        <v>108</v>
      </c>
    </row>
    <row r="7" spans="2:25" x14ac:dyDescent="0.25">
      <c r="B7" s="20" t="str">
        <f>'County Data'!$B$45</f>
        <v>Wheeler</v>
      </c>
      <c r="C7" s="15">
        <f>VLOOKUP($B7,'County Data'!$B$10:$P$46,2,FALSE)</f>
        <v>1440</v>
      </c>
      <c r="D7" s="26" t="str">
        <f>VLOOKUP($B7,'County Data'!$B$9:$P$46,12,FALSE)</f>
        <v>Y</v>
      </c>
      <c r="E7" s="72">
        <f>IF(D7="Y",$C$3*Input!$C$28/36*E$4,0)</f>
        <v>0</v>
      </c>
      <c r="F7" s="15">
        <f>IF(D7="Y",$C7,0)</f>
        <v>1440</v>
      </c>
      <c r="G7" s="72">
        <f>ROUND(($C$3*E$4-E$41)*(F7/F$41),2)</f>
        <v>0</v>
      </c>
      <c r="H7" s="73">
        <f>E7+G7</f>
        <v>0</v>
      </c>
      <c r="I7" s="26">
        <f>VLOOKUP($B7,'County Data'!$B$9:$P$46,13,FALSE)</f>
        <v>0</v>
      </c>
      <c r="J7" s="45">
        <f>IF(I7="Y",$C$3*Input!$C$28/36*J$4,0)</f>
        <v>0</v>
      </c>
      <c r="K7" s="15">
        <f>IF(I7="Y",$C7,0)</f>
        <v>0</v>
      </c>
      <c r="L7" s="72">
        <f>ROUND(($C$3*J$4-J$41)*(K7/K$41),2)</f>
        <v>0</v>
      </c>
      <c r="M7" s="73">
        <f>J7+L7</f>
        <v>0</v>
      </c>
      <c r="N7" s="26">
        <f>VLOOKUP($B7,'County Data'!$B$9:$P$46,14,FALSE)</f>
        <v>0</v>
      </c>
      <c r="O7" s="45">
        <f>IF(N7="Y",$C$3*Input!$C$28/36*O$4,0)</f>
        <v>0</v>
      </c>
      <c r="P7" s="15">
        <f>IF(N7="Y",$C7,0)</f>
        <v>0</v>
      </c>
      <c r="Q7" s="72">
        <f>ROUND(($C$3*O$4-O$41)*(P7/P$41),2)</f>
        <v>0</v>
      </c>
      <c r="R7" s="73">
        <f>O7+Q7</f>
        <v>0</v>
      </c>
      <c r="S7" s="26">
        <f>VLOOKUP($B7,'County Data'!$B$9:$P$46,15,FALSE)</f>
        <v>0</v>
      </c>
      <c r="T7" s="45">
        <f>IF(S7="Y",$C$3*Input!$C$28/36*T$4,0)</f>
        <v>0</v>
      </c>
      <c r="U7" s="15">
        <f>IF(S7="Y",$C7,0)</f>
        <v>0</v>
      </c>
      <c r="V7" s="72">
        <f>ROUND(($C$3*T$4-T$41)*(U7/U$41),2)</f>
        <v>0</v>
      </c>
      <c r="W7" s="73">
        <f>T7+V7</f>
        <v>0</v>
      </c>
      <c r="X7" s="74">
        <f>H7+M7+R7+W7</f>
        <v>0</v>
      </c>
      <c r="Y7" s="44">
        <f>X7/C7</f>
        <v>0</v>
      </c>
    </row>
    <row r="8" spans="2:25" x14ac:dyDescent="0.25">
      <c r="B8" s="20" t="str">
        <f>+'County Data'!$B$42</f>
        <v>Wallowa</v>
      </c>
      <c r="C8" s="15">
        <f>VLOOKUP($B8,'County Data'!$B$10:$P$46,2,FALSE)</f>
        <v>0</v>
      </c>
      <c r="D8" s="26" t="str">
        <f>VLOOKUP($B8,'County Data'!$B$9:$P$46,12,FALSE)</f>
        <v>Y</v>
      </c>
      <c r="E8" s="72">
        <f>IF(D8="Y",$C$3*Input!$C$28/36*E$4,0)</f>
        <v>0</v>
      </c>
      <c r="F8" s="15">
        <f t="shared" ref="F8:F40" si="0">IF(D8="Y",$C8,0)</f>
        <v>0</v>
      </c>
      <c r="G8" s="72">
        <f t="shared" ref="G8:G40" si="1">ROUND(($C$3*E$4-E$41)*(F8/F$41),2)</f>
        <v>0</v>
      </c>
      <c r="H8" s="73">
        <f t="shared" ref="H8:H40" si="2">E8+G8</f>
        <v>0</v>
      </c>
      <c r="I8" s="26">
        <f>VLOOKUP($B8,'County Data'!$B$9:$P$46,13,FALSE)</f>
        <v>0</v>
      </c>
      <c r="J8" s="45">
        <f>IF(I8="Y",$C$3*Input!$C$28/36*J$4,0)</f>
        <v>0</v>
      </c>
      <c r="K8" s="15">
        <f t="shared" ref="K8:K40" si="3">IF(I8="Y",$C8,0)</f>
        <v>0</v>
      </c>
      <c r="L8" s="72">
        <f t="shared" ref="L8:L40" si="4">ROUND(($C$3*J$4-J$41)*(K8/K$41),2)</f>
        <v>0</v>
      </c>
      <c r="M8" s="73">
        <f t="shared" ref="M8:M40" si="5">J8+L8</f>
        <v>0</v>
      </c>
      <c r="N8" s="26">
        <f>VLOOKUP($B8,'County Data'!$B$9:$P$46,14,FALSE)</f>
        <v>0</v>
      </c>
      <c r="O8" s="45">
        <f>IF(N8="Y",$C$3*Input!$C$28/36*O$4,0)</f>
        <v>0</v>
      </c>
      <c r="P8" s="15">
        <f t="shared" ref="P8:P40" si="6">IF(N8="Y",$C8,0)</f>
        <v>0</v>
      </c>
      <c r="Q8" s="72">
        <f t="shared" ref="Q8:Q40" si="7">ROUND(($C$3*O$4-O$41)*(P8/P$41),2)</f>
        <v>0</v>
      </c>
      <c r="R8" s="73">
        <f t="shared" ref="R8:R40" si="8">O8+Q8</f>
        <v>0</v>
      </c>
      <c r="S8" s="26">
        <f>VLOOKUP($B8,'County Data'!$B$9:$P$46,15,FALSE)</f>
        <v>0</v>
      </c>
      <c r="T8" s="45">
        <f>IF(S8="Y",$C$3*Input!$C$28/36*T$4,0)</f>
        <v>0</v>
      </c>
      <c r="U8" s="15">
        <f t="shared" ref="U8:U40" si="9">IF(S8="Y",$C8,0)</f>
        <v>0</v>
      </c>
      <c r="V8" s="72">
        <f t="shared" ref="V8:V40" si="10">ROUND(($C$3*T$4-T$41)*(U8/U$41),2)</f>
        <v>0</v>
      </c>
      <c r="W8" s="73">
        <f t="shared" ref="W8:W40" si="11">T8+V8</f>
        <v>0</v>
      </c>
      <c r="X8" s="74">
        <f t="shared" ref="X8:X40" si="12">H8+M8+R8+W8</f>
        <v>0</v>
      </c>
      <c r="Y8" s="44" t="e">
        <f t="shared" ref="Y8:Y41" si="13">X8/C8</f>
        <v>#DIV/0!</v>
      </c>
    </row>
    <row r="9" spans="2:25" x14ac:dyDescent="0.25">
      <c r="B9" s="20" t="str">
        <f>+'County Data'!$B$22</f>
        <v>Harney</v>
      </c>
      <c r="C9" s="15">
        <f>VLOOKUP($B9,'County Data'!$B$10:$P$46,2,FALSE)</f>
        <v>7280</v>
      </c>
      <c r="D9" s="26" t="str">
        <f>VLOOKUP($B9,'County Data'!$B$9:$P$46,12,FALSE)</f>
        <v>Y</v>
      </c>
      <c r="E9" s="72">
        <f>IF(D9="Y",$C$3*Input!$C$28/36*E$4,0)</f>
        <v>0</v>
      </c>
      <c r="F9" s="15">
        <f t="shared" si="0"/>
        <v>7280</v>
      </c>
      <c r="G9" s="72">
        <f t="shared" si="1"/>
        <v>0</v>
      </c>
      <c r="H9" s="73">
        <f t="shared" si="2"/>
        <v>0</v>
      </c>
      <c r="I9" s="26">
        <f>VLOOKUP($B9,'County Data'!$B$9:$P$46,13,FALSE)</f>
        <v>0</v>
      </c>
      <c r="J9" s="45">
        <f>IF(I9="Y",$C$3*Input!$C$28/36*J$4,0)</f>
        <v>0</v>
      </c>
      <c r="K9" s="15">
        <f t="shared" si="3"/>
        <v>0</v>
      </c>
      <c r="L9" s="72">
        <f t="shared" si="4"/>
        <v>0</v>
      </c>
      <c r="M9" s="73">
        <f t="shared" si="5"/>
        <v>0</v>
      </c>
      <c r="N9" s="26">
        <f>VLOOKUP($B9,'County Data'!$B$9:$P$46,14,FALSE)</f>
        <v>0</v>
      </c>
      <c r="O9" s="45">
        <f>IF(N9="Y",$C$3*Input!$C$28/36*O$4,0)</f>
        <v>0</v>
      </c>
      <c r="P9" s="15">
        <f t="shared" si="6"/>
        <v>0</v>
      </c>
      <c r="Q9" s="72">
        <f t="shared" si="7"/>
        <v>0</v>
      </c>
      <c r="R9" s="73">
        <f t="shared" si="8"/>
        <v>0</v>
      </c>
      <c r="S9" s="26">
        <f>VLOOKUP($B9,'County Data'!$B$9:$P$46,15,FALSE)</f>
        <v>0</v>
      </c>
      <c r="T9" s="45">
        <f>IF(S9="Y",$C$3*Input!$C$28/36*T$4,0)</f>
        <v>0</v>
      </c>
      <c r="U9" s="15">
        <f t="shared" si="9"/>
        <v>0</v>
      </c>
      <c r="V9" s="72">
        <f t="shared" si="10"/>
        <v>0</v>
      </c>
      <c r="W9" s="73">
        <f t="shared" si="11"/>
        <v>0</v>
      </c>
      <c r="X9" s="74">
        <f t="shared" si="12"/>
        <v>0</v>
      </c>
      <c r="Y9" s="44">
        <f t="shared" si="13"/>
        <v>0</v>
      </c>
    </row>
    <row r="10" spans="2:25" x14ac:dyDescent="0.25">
      <c r="B10" s="20" t="str">
        <f>+'County Data'!$B$21</f>
        <v>Grant</v>
      </c>
      <c r="C10" s="15">
        <f>VLOOKUP($B10,'County Data'!$B$10:$P$46,2,FALSE)</f>
        <v>7315</v>
      </c>
      <c r="D10" s="26" t="str">
        <f>VLOOKUP($B10,'County Data'!$B$9:$P$46,12,FALSE)</f>
        <v>Y</v>
      </c>
      <c r="E10" s="72">
        <f>IF(D10="Y",$C$3*Input!$C$28/36*E$4,0)</f>
        <v>0</v>
      </c>
      <c r="F10" s="15">
        <f t="shared" si="0"/>
        <v>7315</v>
      </c>
      <c r="G10" s="72">
        <f t="shared" si="1"/>
        <v>0</v>
      </c>
      <c r="H10" s="73">
        <f t="shared" si="2"/>
        <v>0</v>
      </c>
      <c r="I10" s="26">
        <f>VLOOKUP($B10,'County Data'!$B$9:$P$46,13,FALSE)</f>
        <v>0</v>
      </c>
      <c r="J10" s="45">
        <f>IF(I10="Y",$C$3*Input!$C$28/36*J$4,0)</f>
        <v>0</v>
      </c>
      <c r="K10" s="15">
        <f t="shared" si="3"/>
        <v>0</v>
      </c>
      <c r="L10" s="72">
        <f t="shared" si="4"/>
        <v>0</v>
      </c>
      <c r="M10" s="73">
        <f t="shared" si="5"/>
        <v>0</v>
      </c>
      <c r="N10" s="26">
        <f>VLOOKUP($B10,'County Data'!$B$9:$P$46,14,FALSE)</f>
        <v>0</v>
      </c>
      <c r="O10" s="45">
        <f>IF(N10="Y",$C$3*Input!$C$28/36*O$4,0)</f>
        <v>0</v>
      </c>
      <c r="P10" s="15">
        <f t="shared" si="6"/>
        <v>0</v>
      </c>
      <c r="Q10" s="72">
        <f t="shared" si="7"/>
        <v>0</v>
      </c>
      <c r="R10" s="73">
        <f t="shared" si="8"/>
        <v>0</v>
      </c>
      <c r="S10" s="26">
        <f>VLOOKUP($B10,'County Data'!$B$9:$P$46,15,FALSE)</f>
        <v>0</v>
      </c>
      <c r="T10" s="45">
        <f>IF(S10="Y",$C$3*Input!$C$28/36*T$4,0)</f>
        <v>0</v>
      </c>
      <c r="U10" s="15">
        <f t="shared" si="9"/>
        <v>0</v>
      </c>
      <c r="V10" s="72">
        <f t="shared" si="10"/>
        <v>0</v>
      </c>
      <c r="W10" s="73">
        <f t="shared" si="11"/>
        <v>0</v>
      </c>
      <c r="X10" s="74">
        <f t="shared" si="12"/>
        <v>0</v>
      </c>
      <c r="Y10" s="44">
        <f t="shared" si="13"/>
        <v>0</v>
      </c>
    </row>
    <row r="11" spans="2:25" x14ac:dyDescent="0.25">
      <c r="B11" s="20" t="str">
        <f>+'County Data'!$B$28</f>
        <v>Lake</v>
      </c>
      <c r="C11" s="15">
        <f>VLOOKUP($B11,'County Data'!$B$10:$P$46,2,FALSE)</f>
        <v>8075</v>
      </c>
      <c r="D11" s="26" t="str">
        <f>VLOOKUP($B11,'County Data'!$B$9:$P$46,12,FALSE)</f>
        <v>Y</v>
      </c>
      <c r="E11" s="72">
        <f>IF(D11="Y",$C$3*Input!$C$28/36*E$4,0)</f>
        <v>0</v>
      </c>
      <c r="F11" s="15">
        <f t="shared" si="0"/>
        <v>8075</v>
      </c>
      <c r="G11" s="72">
        <f t="shared" si="1"/>
        <v>0</v>
      </c>
      <c r="H11" s="73">
        <f t="shared" si="2"/>
        <v>0</v>
      </c>
      <c r="I11" s="26">
        <f>VLOOKUP($B11,'County Data'!$B$9:$P$46,13,FALSE)</f>
        <v>0</v>
      </c>
      <c r="J11" s="45">
        <f>IF(I11="Y",$C$3*Input!$C$28/36*J$4,0)</f>
        <v>0</v>
      </c>
      <c r="K11" s="15">
        <f t="shared" si="3"/>
        <v>0</v>
      </c>
      <c r="L11" s="72">
        <f t="shared" si="4"/>
        <v>0</v>
      </c>
      <c r="M11" s="73">
        <f t="shared" si="5"/>
        <v>0</v>
      </c>
      <c r="N11" s="26">
        <f>VLOOKUP($B11,'County Data'!$B$9:$P$46,14,FALSE)</f>
        <v>0</v>
      </c>
      <c r="O11" s="45">
        <f>IF(N11="Y",$C$3*Input!$C$28/36*O$4,0)</f>
        <v>0</v>
      </c>
      <c r="P11" s="15">
        <f t="shared" si="6"/>
        <v>0</v>
      </c>
      <c r="Q11" s="72">
        <f t="shared" si="7"/>
        <v>0</v>
      </c>
      <c r="R11" s="73">
        <f t="shared" si="8"/>
        <v>0</v>
      </c>
      <c r="S11" s="26">
        <f>VLOOKUP($B11,'County Data'!$B$9:$P$46,15,FALSE)</f>
        <v>0</v>
      </c>
      <c r="T11" s="45">
        <f>IF(S11="Y",$C$3*Input!$C$28/36*T$4,0)</f>
        <v>0</v>
      </c>
      <c r="U11" s="15">
        <f t="shared" si="9"/>
        <v>0</v>
      </c>
      <c r="V11" s="72">
        <f t="shared" si="10"/>
        <v>0</v>
      </c>
      <c r="W11" s="73">
        <f t="shared" si="11"/>
        <v>0</v>
      </c>
      <c r="X11" s="74">
        <f t="shared" si="12"/>
        <v>0</v>
      </c>
      <c r="Y11" s="44">
        <f t="shared" si="13"/>
        <v>0</v>
      </c>
    </row>
    <row r="12" spans="2:25" x14ac:dyDescent="0.25">
      <c r="B12" s="20" t="str">
        <f>+'County Data'!$B$34</f>
        <v>Morrow</v>
      </c>
      <c r="C12" s="15">
        <f>VLOOKUP($B12,'County Data'!$B$10:$P$46,2,FALSE)</f>
        <v>12825</v>
      </c>
      <c r="D12" s="26" t="str">
        <f>VLOOKUP($B12,'County Data'!$B$9:$P$46,12,FALSE)</f>
        <v>Y</v>
      </c>
      <c r="E12" s="72">
        <f>IF(D12="Y",$C$3*Input!$C$28/36*E$4,0)</f>
        <v>0</v>
      </c>
      <c r="F12" s="15">
        <f t="shared" si="0"/>
        <v>12825</v>
      </c>
      <c r="G12" s="72">
        <f t="shared" si="1"/>
        <v>0</v>
      </c>
      <c r="H12" s="73">
        <f t="shared" si="2"/>
        <v>0</v>
      </c>
      <c r="I12" s="26">
        <f>VLOOKUP($B12,'County Data'!$B$9:$P$46,13,FALSE)</f>
        <v>0</v>
      </c>
      <c r="J12" s="45">
        <f>IF(I12="Y",$C$3*Input!$C$28/36*J$4,0)</f>
        <v>0</v>
      </c>
      <c r="K12" s="15">
        <f t="shared" si="3"/>
        <v>0</v>
      </c>
      <c r="L12" s="72">
        <f t="shared" si="4"/>
        <v>0</v>
      </c>
      <c r="M12" s="73">
        <f t="shared" si="5"/>
        <v>0</v>
      </c>
      <c r="N12" s="26">
        <f>VLOOKUP($B12,'County Data'!$B$9:$P$46,14,FALSE)</f>
        <v>0</v>
      </c>
      <c r="O12" s="45">
        <f>IF(N12="Y",$C$3*Input!$C$28/36*O$4,0)</f>
        <v>0</v>
      </c>
      <c r="P12" s="15">
        <f t="shared" si="6"/>
        <v>0</v>
      </c>
      <c r="Q12" s="72">
        <f t="shared" si="7"/>
        <v>0</v>
      </c>
      <c r="R12" s="73">
        <f t="shared" si="8"/>
        <v>0</v>
      </c>
      <c r="S12" s="26">
        <f>VLOOKUP($B12,'County Data'!$B$9:$P$46,15,FALSE)</f>
        <v>0</v>
      </c>
      <c r="T12" s="45">
        <f>IF(S12="Y",$C$3*Input!$C$28/36*T$4,0)</f>
        <v>0</v>
      </c>
      <c r="U12" s="15">
        <f t="shared" si="9"/>
        <v>0</v>
      </c>
      <c r="V12" s="72">
        <f t="shared" si="10"/>
        <v>0</v>
      </c>
      <c r="W12" s="73">
        <f t="shared" si="11"/>
        <v>0</v>
      </c>
      <c r="X12" s="74">
        <f t="shared" si="12"/>
        <v>0</v>
      </c>
      <c r="Y12" s="44">
        <f t="shared" si="13"/>
        <v>0</v>
      </c>
    </row>
    <row r="13" spans="2:25" x14ac:dyDescent="0.25">
      <c r="B13" s="20" t="str">
        <f>+'County Data'!$B$10</f>
        <v>Baker</v>
      </c>
      <c r="C13" s="15">
        <f>VLOOKUP($B13,'County Data'!$B$10:$P$46,2,FALSE)</f>
        <v>16910</v>
      </c>
      <c r="D13" s="26" t="str">
        <f>VLOOKUP($B13,'County Data'!$B$9:$P$46,12,FALSE)</f>
        <v>Y</v>
      </c>
      <c r="E13" s="72">
        <f>IF(D13="Y",$C$3*Input!$C$28/36*E$4,0)</f>
        <v>0</v>
      </c>
      <c r="F13" s="15">
        <f t="shared" si="0"/>
        <v>16910</v>
      </c>
      <c r="G13" s="72">
        <f t="shared" si="1"/>
        <v>0</v>
      </c>
      <c r="H13" s="73">
        <f t="shared" si="2"/>
        <v>0</v>
      </c>
      <c r="I13" s="26">
        <f>VLOOKUP($B13,'County Data'!$B$9:$P$46,13,FALSE)</f>
        <v>0</v>
      </c>
      <c r="J13" s="45">
        <f>IF(I13="Y",$C$3*Input!$C$28/36*J$4,0)</f>
        <v>0</v>
      </c>
      <c r="K13" s="15">
        <f t="shared" si="3"/>
        <v>0</v>
      </c>
      <c r="L13" s="72">
        <f t="shared" si="4"/>
        <v>0</v>
      </c>
      <c r="M13" s="73">
        <f t="shared" si="5"/>
        <v>0</v>
      </c>
      <c r="N13" s="26">
        <f>VLOOKUP($B13,'County Data'!$B$9:$P$46,14,FALSE)</f>
        <v>0</v>
      </c>
      <c r="O13" s="45">
        <f>IF(N13="Y",$C$3*Input!$C$28/36*O$4,0)</f>
        <v>0</v>
      </c>
      <c r="P13" s="15">
        <f t="shared" si="6"/>
        <v>0</v>
      </c>
      <c r="Q13" s="72">
        <f t="shared" si="7"/>
        <v>0</v>
      </c>
      <c r="R13" s="73">
        <f t="shared" si="8"/>
        <v>0</v>
      </c>
      <c r="S13" s="26">
        <f>VLOOKUP($B13,'County Data'!$B$9:$P$46,15,FALSE)</f>
        <v>0</v>
      </c>
      <c r="T13" s="45">
        <f>IF(S13="Y",$C$3*Input!$C$28/36*T$4,0)</f>
        <v>0</v>
      </c>
      <c r="U13" s="15">
        <f t="shared" si="9"/>
        <v>0</v>
      </c>
      <c r="V13" s="72">
        <f t="shared" si="10"/>
        <v>0</v>
      </c>
      <c r="W13" s="73">
        <f t="shared" si="11"/>
        <v>0</v>
      </c>
      <c r="X13" s="74">
        <f t="shared" si="12"/>
        <v>0</v>
      </c>
      <c r="Y13" s="44">
        <f t="shared" si="13"/>
        <v>0</v>
      </c>
    </row>
    <row r="14" spans="2:25" x14ac:dyDescent="0.25">
      <c r="B14" s="20" t="str">
        <f>+'County Data'!$B$16</f>
        <v>Crook</v>
      </c>
      <c r="C14" s="15">
        <f>VLOOKUP($B14,'County Data'!$B$10:$P$46,2,FALSE)</f>
        <v>23440</v>
      </c>
      <c r="D14" s="26" t="str">
        <f>VLOOKUP($B14,'County Data'!$B$9:$P$46,12,FALSE)</f>
        <v>Y</v>
      </c>
      <c r="E14" s="72">
        <f>IF(D14="Y",$C$3*Input!$C$28/36*E$4,0)</f>
        <v>0</v>
      </c>
      <c r="F14" s="15">
        <f t="shared" si="0"/>
        <v>23440</v>
      </c>
      <c r="G14" s="72">
        <f t="shared" si="1"/>
        <v>0</v>
      </c>
      <c r="H14" s="73">
        <f t="shared" si="2"/>
        <v>0</v>
      </c>
      <c r="I14" s="26">
        <f>VLOOKUP($B14,'County Data'!$B$9:$P$46,13,FALSE)</f>
        <v>0</v>
      </c>
      <c r="J14" s="45">
        <f>IF(I14="Y",$C$3*Input!$C$28/36*J$4,0)</f>
        <v>0</v>
      </c>
      <c r="K14" s="15">
        <f t="shared" si="3"/>
        <v>0</v>
      </c>
      <c r="L14" s="72">
        <f t="shared" si="4"/>
        <v>0</v>
      </c>
      <c r="M14" s="73">
        <f t="shared" si="5"/>
        <v>0</v>
      </c>
      <c r="N14" s="26">
        <f>VLOOKUP($B14,'County Data'!$B$9:$P$46,14,FALSE)</f>
        <v>0</v>
      </c>
      <c r="O14" s="45">
        <f>IF(N14="Y",$C$3*Input!$C$28/36*O$4,0)</f>
        <v>0</v>
      </c>
      <c r="P14" s="15">
        <f t="shared" si="6"/>
        <v>0</v>
      </c>
      <c r="Q14" s="72">
        <f t="shared" si="7"/>
        <v>0</v>
      </c>
      <c r="R14" s="73">
        <f t="shared" si="8"/>
        <v>0</v>
      </c>
      <c r="S14" s="26">
        <f>VLOOKUP($B14,'County Data'!$B$9:$P$46,15,FALSE)</f>
        <v>0</v>
      </c>
      <c r="T14" s="45">
        <f>IF(S14="Y",$C$3*Input!$C$28/36*T$4,0)</f>
        <v>0</v>
      </c>
      <c r="U14" s="15">
        <f t="shared" si="9"/>
        <v>0</v>
      </c>
      <c r="V14" s="72">
        <f t="shared" si="10"/>
        <v>0</v>
      </c>
      <c r="W14" s="73">
        <f t="shared" si="11"/>
        <v>0</v>
      </c>
      <c r="X14" s="74">
        <f t="shared" si="12"/>
        <v>0</v>
      </c>
      <c r="Y14" s="44">
        <f t="shared" si="13"/>
        <v>0</v>
      </c>
    </row>
    <row r="15" spans="2:25" x14ac:dyDescent="0.25">
      <c r="B15" s="20" t="str">
        <f>+'County Data'!$B$25</f>
        <v>Jefferson</v>
      </c>
      <c r="C15" s="15">
        <f>VLOOKUP($B15,'County Data'!$B$10:$P$46,2,FALSE)</f>
        <v>24105</v>
      </c>
      <c r="D15" s="26" t="str">
        <f>VLOOKUP($B15,'County Data'!$B$9:$P$46,12,FALSE)</f>
        <v>Y</v>
      </c>
      <c r="E15" s="72">
        <f>IF(D15="Y",$C$3*Input!$C$28/36*E$4,0)</f>
        <v>0</v>
      </c>
      <c r="F15" s="15">
        <f t="shared" si="0"/>
        <v>24105</v>
      </c>
      <c r="G15" s="72">
        <f t="shared" si="1"/>
        <v>0</v>
      </c>
      <c r="H15" s="73">
        <f t="shared" si="2"/>
        <v>0</v>
      </c>
      <c r="I15" s="26">
        <f>VLOOKUP($B15,'County Data'!$B$9:$P$46,13,FALSE)</f>
        <v>0</v>
      </c>
      <c r="J15" s="45">
        <f>IF(I15="Y",$C$3*Input!$C$28/36*J$4,0)</f>
        <v>0</v>
      </c>
      <c r="K15" s="15">
        <f t="shared" si="3"/>
        <v>0</v>
      </c>
      <c r="L15" s="72">
        <f t="shared" si="4"/>
        <v>0</v>
      </c>
      <c r="M15" s="73">
        <f t="shared" si="5"/>
        <v>0</v>
      </c>
      <c r="N15" s="26">
        <f>VLOOKUP($B15,'County Data'!$B$9:$P$46,14,FALSE)</f>
        <v>0</v>
      </c>
      <c r="O15" s="45">
        <f>IF(N15="Y",$C$3*Input!$C$28/36*O$4,0)</f>
        <v>0</v>
      </c>
      <c r="P15" s="15">
        <f t="shared" si="6"/>
        <v>0</v>
      </c>
      <c r="Q15" s="72">
        <f t="shared" si="7"/>
        <v>0</v>
      </c>
      <c r="R15" s="73">
        <f t="shared" si="8"/>
        <v>0</v>
      </c>
      <c r="S15" s="26">
        <f>VLOOKUP($B15,'County Data'!$B$9:$P$46,15,FALSE)</f>
        <v>0</v>
      </c>
      <c r="T15" s="45">
        <f>IF(S15="Y",$C$3*Input!$C$28/36*T$4,0)</f>
        <v>0</v>
      </c>
      <c r="U15" s="15">
        <f t="shared" si="9"/>
        <v>0</v>
      </c>
      <c r="V15" s="72">
        <f t="shared" si="10"/>
        <v>0</v>
      </c>
      <c r="W15" s="73">
        <f t="shared" si="11"/>
        <v>0</v>
      </c>
      <c r="X15" s="74">
        <f t="shared" si="12"/>
        <v>0</v>
      </c>
      <c r="Y15" s="44">
        <f t="shared" si="13"/>
        <v>0</v>
      </c>
    </row>
    <row r="16" spans="2:25" x14ac:dyDescent="0.25">
      <c r="B16" s="20" t="str">
        <f>+'County Data'!$B$17</f>
        <v>Curry</v>
      </c>
      <c r="C16" s="15">
        <f>VLOOKUP($B16,'County Data'!$B$10:$P$46,2,FALSE)</f>
        <v>0</v>
      </c>
      <c r="D16" s="26" t="str">
        <f>VLOOKUP($B16,'County Data'!$B$9:$P$46,12,FALSE)</f>
        <v>Y</v>
      </c>
      <c r="E16" s="72">
        <f>IF(D16="Y",$C$3*Input!$C$28/36*E$4,0)</f>
        <v>0</v>
      </c>
      <c r="F16" s="15">
        <f t="shared" si="0"/>
        <v>0</v>
      </c>
      <c r="G16" s="72">
        <f t="shared" si="1"/>
        <v>0</v>
      </c>
      <c r="H16" s="73">
        <f t="shared" si="2"/>
        <v>0</v>
      </c>
      <c r="I16" s="26">
        <f>VLOOKUP($B16,'County Data'!$B$9:$P$46,13,FALSE)</f>
        <v>0</v>
      </c>
      <c r="J16" s="45">
        <f>IF(I16="Y",$C$3*Input!$C$28/36*J$4,0)</f>
        <v>0</v>
      </c>
      <c r="K16" s="15">
        <f t="shared" si="3"/>
        <v>0</v>
      </c>
      <c r="L16" s="72">
        <f t="shared" si="4"/>
        <v>0</v>
      </c>
      <c r="M16" s="73">
        <f t="shared" si="5"/>
        <v>0</v>
      </c>
      <c r="N16" s="26">
        <f>VLOOKUP($B16,'County Data'!$B$9:$P$46,14,FALSE)</f>
        <v>0</v>
      </c>
      <c r="O16" s="45">
        <f>IF(N16="Y",$C$3*Input!$C$28/36*O$4,0)</f>
        <v>0</v>
      </c>
      <c r="P16" s="15">
        <f t="shared" si="6"/>
        <v>0</v>
      </c>
      <c r="Q16" s="72">
        <f t="shared" si="7"/>
        <v>0</v>
      </c>
      <c r="R16" s="73">
        <f t="shared" si="8"/>
        <v>0</v>
      </c>
      <c r="S16" s="26">
        <f>VLOOKUP($B16,'County Data'!$B$9:$P$46,15,FALSE)</f>
        <v>0</v>
      </c>
      <c r="T16" s="45">
        <f>IF(S16="Y",$C$3*Input!$C$28/36*T$4,0)</f>
        <v>0</v>
      </c>
      <c r="U16" s="15">
        <f t="shared" si="9"/>
        <v>0</v>
      </c>
      <c r="V16" s="72">
        <f t="shared" si="10"/>
        <v>0</v>
      </c>
      <c r="W16" s="73">
        <f t="shared" si="11"/>
        <v>0</v>
      </c>
      <c r="X16" s="74">
        <f t="shared" si="12"/>
        <v>0</v>
      </c>
      <c r="Y16" s="44" t="e">
        <f t="shared" si="13"/>
        <v>#DIV/0!</v>
      </c>
    </row>
    <row r="17" spans="2:25" x14ac:dyDescent="0.25">
      <c r="B17" s="20" t="str">
        <f>+'County Data'!$B$23</f>
        <v>Hood River</v>
      </c>
      <c r="C17" s="15">
        <f>VLOOKUP($B17,'County Data'!$B$10:$P$46,2,FALSE)</f>
        <v>25640</v>
      </c>
      <c r="D17" s="26" t="str">
        <f>VLOOKUP($B17,'County Data'!$B$9:$P$46,12,FALSE)</f>
        <v>Y</v>
      </c>
      <c r="E17" s="72">
        <f>IF(D17="Y",$C$3*Input!$C$28/36*E$4,0)</f>
        <v>0</v>
      </c>
      <c r="F17" s="15">
        <f t="shared" si="0"/>
        <v>25640</v>
      </c>
      <c r="G17" s="72">
        <f t="shared" si="1"/>
        <v>0</v>
      </c>
      <c r="H17" s="73">
        <f t="shared" si="2"/>
        <v>0</v>
      </c>
      <c r="I17" s="26">
        <f>VLOOKUP($B17,'County Data'!$B$9:$P$46,13,FALSE)</f>
        <v>0</v>
      </c>
      <c r="J17" s="45">
        <f>IF(I17="Y",$C$3*Input!$C$28/36*J$4,0)</f>
        <v>0</v>
      </c>
      <c r="K17" s="15">
        <f t="shared" si="3"/>
        <v>0</v>
      </c>
      <c r="L17" s="72">
        <f t="shared" si="4"/>
        <v>0</v>
      </c>
      <c r="M17" s="73">
        <f t="shared" si="5"/>
        <v>0</v>
      </c>
      <c r="N17" s="26">
        <f>VLOOKUP($B17,'County Data'!$B$9:$P$46,14,FALSE)</f>
        <v>0</v>
      </c>
      <c r="O17" s="45">
        <f>IF(N17="Y",$C$3*Input!$C$28/36*O$4,0)</f>
        <v>0</v>
      </c>
      <c r="P17" s="15">
        <f t="shared" si="6"/>
        <v>0</v>
      </c>
      <c r="Q17" s="72">
        <f t="shared" si="7"/>
        <v>0</v>
      </c>
      <c r="R17" s="73">
        <f t="shared" si="8"/>
        <v>0</v>
      </c>
      <c r="S17" s="26">
        <f>VLOOKUP($B17,'County Data'!$B$9:$P$46,15,FALSE)</f>
        <v>0</v>
      </c>
      <c r="T17" s="45">
        <f>IF(S17="Y",$C$3*Input!$C$28/36*T$4,0)</f>
        <v>0</v>
      </c>
      <c r="U17" s="15">
        <f t="shared" si="9"/>
        <v>0</v>
      </c>
      <c r="V17" s="72">
        <f t="shared" si="10"/>
        <v>0</v>
      </c>
      <c r="W17" s="73">
        <f t="shared" si="11"/>
        <v>0</v>
      </c>
      <c r="X17" s="74">
        <f t="shared" si="12"/>
        <v>0</v>
      </c>
      <c r="Y17" s="44">
        <f t="shared" si="13"/>
        <v>0</v>
      </c>
    </row>
    <row r="18" spans="2:25" x14ac:dyDescent="0.25">
      <c r="B18" s="20" t="str">
        <f>+'County Data'!$B$39</f>
        <v>Tillamook</v>
      </c>
      <c r="C18" s="15">
        <f>VLOOKUP($B18,'County Data'!$B$10:$P$46,2,FALSE)</f>
        <v>26530</v>
      </c>
      <c r="D18" s="26" t="str">
        <f>VLOOKUP($B18,'County Data'!$B$9:$P$46,12,FALSE)</f>
        <v>Y</v>
      </c>
      <c r="E18" s="72">
        <f>IF(D18="Y",$C$3*Input!$C$28/36*E$4,0)</f>
        <v>0</v>
      </c>
      <c r="F18" s="15">
        <f t="shared" si="0"/>
        <v>26530</v>
      </c>
      <c r="G18" s="72">
        <f t="shared" si="1"/>
        <v>0</v>
      </c>
      <c r="H18" s="73">
        <f t="shared" si="2"/>
        <v>0</v>
      </c>
      <c r="I18" s="26">
        <f>VLOOKUP($B18,'County Data'!$B$9:$P$46,13,FALSE)</f>
        <v>0</v>
      </c>
      <c r="J18" s="45">
        <f>IF(I18="Y",$C$3*Input!$C$28/36*J$4,0)</f>
        <v>0</v>
      </c>
      <c r="K18" s="15">
        <f t="shared" si="3"/>
        <v>0</v>
      </c>
      <c r="L18" s="72">
        <f t="shared" si="4"/>
        <v>0</v>
      </c>
      <c r="M18" s="73">
        <f t="shared" si="5"/>
        <v>0</v>
      </c>
      <c r="N18" s="26">
        <f>VLOOKUP($B18,'County Data'!$B$9:$P$46,14,FALSE)</f>
        <v>0</v>
      </c>
      <c r="O18" s="45">
        <f>IF(N18="Y",$C$3*Input!$C$28/36*O$4,0)</f>
        <v>0</v>
      </c>
      <c r="P18" s="15">
        <f t="shared" si="6"/>
        <v>0</v>
      </c>
      <c r="Q18" s="72">
        <f t="shared" si="7"/>
        <v>0</v>
      </c>
      <c r="R18" s="73">
        <f t="shared" si="8"/>
        <v>0</v>
      </c>
      <c r="S18" s="26">
        <f>VLOOKUP($B18,'County Data'!$B$9:$P$46,15,FALSE)</f>
        <v>0</v>
      </c>
      <c r="T18" s="45">
        <f>IF(S18="Y",$C$3*Input!$C$28/36*T$4,0)</f>
        <v>0</v>
      </c>
      <c r="U18" s="15">
        <f t="shared" si="9"/>
        <v>0</v>
      </c>
      <c r="V18" s="72">
        <f t="shared" si="10"/>
        <v>0</v>
      </c>
      <c r="W18" s="73">
        <f t="shared" si="11"/>
        <v>0</v>
      </c>
      <c r="X18" s="74">
        <f t="shared" si="12"/>
        <v>0</v>
      </c>
      <c r="Y18" s="44">
        <f t="shared" si="13"/>
        <v>0</v>
      </c>
    </row>
    <row r="19" spans="2:25" x14ac:dyDescent="0.25">
      <c r="B19" s="20" t="str">
        <f>+'County Data'!$B$41</f>
        <v>Union</v>
      </c>
      <c r="C19" s="15">
        <f>VLOOKUP($B19,'County Data'!$B$10:$P$46,2,FALSE)</f>
        <v>26840</v>
      </c>
      <c r="D19" s="26" t="str">
        <f>VLOOKUP($B19,'County Data'!$B$9:$P$46,12,FALSE)</f>
        <v>Y</v>
      </c>
      <c r="E19" s="72">
        <f>IF(D19="Y",$C$3*Input!$C$28/36*E$4,0)</f>
        <v>0</v>
      </c>
      <c r="F19" s="15">
        <f t="shared" si="0"/>
        <v>26840</v>
      </c>
      <c r="G19" s="72">
        <f t="shared" si="1"/>
        <v>0</v>
      </c>
      <c r="H19" s="73">
        <f t="shared" si="2"/>
        <v>0</v>
      </c>
      <c r="I19" s="26">
        <f>VLOOKUP($B19,'County Data'!$B$9:$P$46,13,FALSE)</f>
        <v>0</v>
      </c>
      <c r="J19" s="45">
        <f>IF(I19="Y",$C$3*Input!$C$28/36*J$4,0)</f>
        <v>0</v>
      </c>
      <c r="K19" s="15">
        <f t="shared" si="3"/>
        <v>0</v>
      </c>
      <c r="L19" s="72">
        <f t="shared" si="4"/>
        <v>0</v>
      </c>
      <c r="M19" s="73">
        <f t="shared" si="5"/>
        <v>0</v>
      </c>
      <c r="N19" s="26">
        <f>VLOOKUP($B19,'County Data'!$B$9:$P$46,14,FALSE)</f>
        <v>0</v>
      </c>
      <c r="O19" s="45">
        <f>IF(N19="Y",$C$3*Input!$C$28/36*O$4,0)</f>
        <v>0</v>
      </c>
      <c r="P19" s="15">
        <f t="shared" si="6"/>
        <v>0</v>
      </c>
      <c r="Q19" s="72">
        <f t="shared" si="7"/>
        <v>0</v>
      </c>
      <c r="R19" s="73">
        <f t="shared" si="8"/>
        <v>0</v>
      </c>
      <c r="S19" s="26">
        <f>VLOOKUP($B19,'County Data'!$B$9:$P$46,15,FALSE)</f>
        <v>0</v>
      </c>
      <c r="T19" s="45">
        <f>IF(S19="Y",$C$3*Input!$C$28/36*T$4,0)</f>
        <v>0</v>
      </c>
      <c r="U19" s="15">
        <f t="shared" si="9"/>
        <v>0</v>
      </c>
      <c r="V19" s="72">
        <f t="shared" si="10"/>
        <v>0</v>
      </c>
      <c r="W19" s="73">
        <f t="shared" si="11"/>
        <v>0</v>
      </c>
      <c r="X19" s="74">
        <f t="shared" si="12"/>
        <v>0</v>
      </c>
      <c r="Y19" s="44">
        <f t="shared" si="13"/>
        <v>0</v>
      </c>
    </row>
    <row r="20" spans="2:25" x14ac:dyDescent="0.25">
      <c r="B20" s="20" t="str">
        <f>+'County Data'!$B$36</f>
        <v>Gilliam, Sherman, Wasco</v>
      </c>
      <c r="C20" s="15">
        <f>VLOOKUP($B20,'County Data'!$B$10:$P$46,2,FALSE)</f>
        <v>31080</v>
      </c>
      <c r="D20" s="26" t="str">
        <f>VLOOKUP($B20,'County Data'!$B$9:$P$46,12,FALSE)</f>
        <v>Y</v>
      </c>
      <c r="E20" s="72">
        <f>IF(D20="Y",$C$3*Input!$C$28/36*3*E$4,0)</f>
        <v>0</v>
      </c>
      <c r="F20" s="15">
        <f t="shared" si="0"/>
        <v>31080</v>
      </c>
      <c r="G20" s="72">
        <f t="shared" si="1"/>
        <v>0</v>
      </c>
      <c r="H20" s="73">
        <f t="shared" si="2"/>
        <v>0</v>
      </c>
      <c r="I20" s="26">
        <f>VLOOKUP($B20,'County Data'!$B$9:$P$46,13,FALSE)</f>
        <v>0</v>
      </c>
      <c r="J20" s="45">
        <f>IF(I20="Y",$C$3*Input!$C$28/36*3*J$4,0)</f>
        <v>0</v>
      </c>
      <c r="K20" s="15">
        <f t="shared" si="3"/>
        <v>0</v>
      </c>
      <c r="L20" s="72">
        <f t="shared" si="4"/>
        <v>0</v>
      </c>
      <c r="M20" s="73">
        <f t="shared" si="5"/>
        <v>0</v>
      </c>
      <c r="N20" s="26">
        <f>VLOOKUP($B20,'County Data'!$B$9:$P$46,14,FALSE)</f>
        <v>0</v>
      </c>
      <c r="O20" s="45">
        <f>IF(N20="Y",$C$3*Input!$C$28/36*3*O$4,0)</f>
        <v>0</v>
      </c>
      <c r="P20" s="15">
        <f t="shared" si="6"/>
        <v>0</v>
      </c>
      <c r="Q20" s="72">
        <f t="shared" si="7"/>
        <v>0</v>
      </c>
      <c r="R20" s="73">
        <f t="shared" si="8"/>
        <v>0</v>
      </c>
      <c r="S20" s="26">
        <f>VLOOKUP($B20,'County Data'!$B$9:$P$46,15,FALSE)</f>
        <v>0</v>
      </c>
      <c r="T20" s="45">
        <f>IF(S20="Y",$C$3*Input!$C$28/36*3*T$4,0)</f>
        <v>0</v>
      </c>
      <c r="U20" s="15">
        <f t="shared" si="9"/>
        <v>0</v>
      </c>
      <c r="V20" s="72">
        <f t="shared" si="10"/>
        <v>0</v>
      </c>
      <c r="W20" s="73">
        <f t="shared" si="11"/>
        <v>0</v>
      </c>
      <c r="X20" s="74">
        <f t="shared" si="12"/>
        <v>0</v>
      </c>
      <c r="Y20" s="44">
        <f t="shared" si="13"/>
        <v>0</v>
      </c>
    </row>
    <row r="21" spans="2:25" x14ac:dyDescent="0.25">
      <c r="B21" s="20" t="str">
        <f>+'County Data'!$B$32</f>
        <v>Malheur</v>
      </c>
      <c r="C21" s="15">
        <f>VLOOKUP($B21,'County Data'!$B$10:$P$46,2,FALSE)</f>
        <v>32105</v>
      </c>
      <c r="D21" s="26" t="str">
        <f>VLOOKUP($B21,'County Data'!$B$9:$P$46,12,FALSE)</f>
        <v>Y</v>
      </c>
      <c r="E21" s="72">
        <f>IF(D21="Y",$C$3*Input!$C$28/36*E$4,0)</f>
        <v>0</v>
      </c>
      <c r="F21" s="15">
        <f t="shared" si="0"/>
        <v>32105</v>
      </c>
      <c r="G21" s="72">
        <f t="shared" si="1"/>
        <v>0</v>
      </c>
      <c r="H21" s="73">
        <f t="shared" si="2"/>
        <v>0</v>
      </c>
      <c r="I21" s="26">
        <f>VLOOKUP($B21,'County Data'!$B$9:$P$46,13,FALSE)</f>
        <v>0</v>
      </c>
      <c r="J21" s="45">
        <f>IF(I21="Y",$C$3*Input!$C$28/36*J$4,0)</f>
        <v>0</v>
      </c>
      <c r="K21" s="15">
        <f t="shared" si="3"/>
        <v>0</v>
      </c>
      <c r="L21" s="72">
        <f t="shared" si="4"/>
        <v>0</v>
      </c>
      <c r="M21" s="73">
        <f t="shared" si="5"/>
        <v>0</v>
      </c>
      <c r="N21" s="26">
        <f>VLOOKUP($B21,'County Data'!$B$9:$P$46,14,FALSE)</f>
        <v>0</v>
      </c>
      <c r="O21" s="45">
        <f>IF(N21="Y",$C$3*Input!$C$28/36*O$4,0)</f>
        <v>0</v>
      </c>
      <c r="P21" s="15">
        <f t="shared" si="6"/>
        <v>0</v>
      </c>
      <c r="Q21" s="72">
        <f t="shared" si="7"/>
        <v>0</v>
      </c>
      <c r="R21" s="73">
        <f t="shared" si="8"/>
        <v>0</v>
      </c>
      <c r="S21" s="26">
        <f>VLOOKUP($B21,'County Data'!$B$9:$P$46,15,FALSE)</f>
        <v>0</v>
      </c>
      <c r="T21" s="45">
        <f>IF(S21="Y",$C$3*Input!$C$28/36*T$4,0)</f>
        <v>0</v>
      </c>
      <c r="U21" s="15">
        <f t="shared" si="9"/>
        <v>0</v>
      </c>
      <c r="V21" s="72">
        <f t="shared" si="10"/>
        <v>0</v>
      </c>
      <c r="W21" s="73">
        <f t="shared" si="11"/>
        <v>0</v>
      </c>
      <c r="X21" s="74">
        <f t="shared" si="12"/>
        <v>0</v>
      </c>
      <c r="Y21" s="44">
        <f t="shared" si="13"/>
        <v>0</v>
      </c>
    </row>
    <row r="22" spans="2:25" x14ac:dyDescent="0.25">
      <c r="B22" s="20" t="str">
        <f>+'County Data'!$B$13</f>
        <v>Clatsop</v>
      </c>
      <c r="C22" s="15">
        <f>VLOOKUP($B22,'County Data'!$B$10:$P$46,2,FALSE)</f>
        <v>39455</v>
      </c>
      <c r="D22" s="26" t="str">
        <f>VLOOKUP($B22,'County Data'!$B$9:$P$46,12,FALSE)</f>
        <v>Y</v>
      </c>
      <c r="E22" s="72">
        <f>IF(D22="Y",$C$3*Input!$C$28/36*E$4,0)</f>
        <v>0</v>
      </c>
      <c r="F22" s="15">
        <f t="shared" si="0"/>
        <v>39455</v>
      </c>
      <c r="G22" s="72">
        <f t="shared" si="1"/>
        <v>0</v>
      </c>
      <c r="H22" s="73">
        <f t="shared" si="2"/>
        <v>0</v>
      </c>
      <c r="I22" s="26">
        <f>VLOOKUP($B22,'County Data'!$B$9:$P$46,13,FALSE)</f>
        <v>0</v>
      </c>
      <c r="J22" s="45">
        <f>IF(I22="Y",$C$3*Input!$C$28/36*J$4,0)</f>
        <v>0</v>
      </c>
      <c r="K22" s="15">
        <f t="shared" si="3"/>
        <v>0</v>
      </c>
      <c r="L22" s="72">
        <f t="shared" si="4"/>
        <v>0</v>
      </c>
      <c r="M22" s="73">
        <f t="shared" si="5"/>
        <v>0</v>
      </c>
      <c r="N22" s="26">
        <f>VLOOKUP($B22,'County Data'!$B$9:$P$46,14,FALSE)</f>
        <v>0</v>
      </c>
      <c r="O22" s="45">
        <f>IF(N22="Y",$C$3*Input!$C$28/36*O$4,0)</f>
        <v>0</v>
      </c>
      <c r="P22" s="15">
        <f t="shared" si="6"/>
        <v>0</v>
      </c>
      <c r="Q22" s="72">
        <f t="shared" si="7"/>
        <v>0</v>
      </c>
      <c r="R22" s="73">
        <f t="shared" si="8"/>
        <v>0</v>
      </c>
      <c r="S22" s="26">
        <f>VLOOKUP($B22,'County Data'!$B$9:$P$46,15,FALSE)</f>
        <v>0</v>
      </c>
      <c r="T22" s="45">
        <f>IF(S22="Y",$C$3*Input!$C$28/36*T$4,0)</f>
        <v>0</v>
      </c>
      <c r="U22" s="15">
        <f t="shared" si="9"/>
        <v>0</v>
      </c>
      <c r="V22" s="72">
        <f t="shared" si="10"/>
        <v>0</v>
      </c>
      <c r="W22" s="73">
        <f t="shared" si="11"/>
        <v>0</v>
      </c>
      <c r="X22" s="74">
        <f t="shared" si="12"/>
        <v>0</v>
      </c>
      <c r="Y22" s="44">
        <f t="shared" si="13"/>
        <v>0</v>
      </c>
    </row>
    <row r="23" spans="2:25" x14ac:dyDescent="0.25">
      <c r="B23" s="20" t="str">
        <f>+'County Data'!$B$30</f>
        <v>Lincoln</v>
      </c>
      <c r="C23" s="15">
        <f>VLOOKUP($B23,'County Data'!$B$10:$P$46,2,FALSE)</f>
        <v>0</v>
      </c>
      <c r="D23" s="26" t="str">
        <f>VLOOKUP($B23,'County Data'!$B$9:$P$46,12,FALSE)</f>
        <v>Y</v>
      </c>
      <c r="E23" s="72">
        <f>IF(D23="Y",$C$3*Input!$C$28/36*E$4,0)</f>
        <v>0</v>
      </c>
      <c r="F23" s="15">
        <f t="shared" si="0"/>
        <v>0</v>
      </c>
      <c r="G23" s="72">
        <f t="shared" si="1"/>
        <v>0</v>
      </c>
      <c r="H23" s="73">
        <f t="shared" si="2"/>
        <v>0</v>
      </c>
      <c r="I23" s="26">
        <f>VLOOKUP($B23,'County Data'!$B$9:$P$46,13,FALSE)</f>
        <v>0</v>
      </c>
      <c r="J23" s="45">
        <f>IF(I23="Y",$C$3*Input!$C$28/36*J$4,0)</f>
        <v>0</v>
      </c>
      <c r="K23" s="15">
        <f t="shared" si="3"/>
        <v>0</v>
      </c>
      <c r="L23" s="72">
        <f t="shared" si="4"/>
        <v>0</v>
      </c>
      <c r="M23" s="73">
        <f t="shared" si="5"/>
        <v>0</v>
      </c>
      <c r="N23" s="26">
        <f>VLOOKUP($B23,'County Data'!$B$9:$P$46,14,FALSE)</f>
        <v>0</v>
      </c>
      <c r="O23" s="45">
        <f>IF(N23="Y",$C$3*Input!$C$28/36*O$4,0)</f>
        <v>0</v>
      </c>
      <c r="P23" s="15">
        <f t="shared" si="6"/>
        <v>0</v>
      </c>
      <c r="Q23" s="72">
        <f t="shared" si="7"/>
        <v>0</v>
      </c>
      <c r="R23" s="73">
        <f t="shared" si="8"/>
        <v>0</v>
      </c>
      <c r="S23" s="26">
        <f>VLOOKUP($B23,'County Data'!$B$9:$P$46,15,FALSE)</f>
        <v>0</v>
      </c>
      <c r="T23" s="45">
        <f>IF(S23="Y",$C$3*Input!$C$28/36*T$4,0)</f>
        <v>0</v>
      </c>
      <c r="U23" s="15">
        <f t="shared" si="9"/>
        <v>0</v>
      </c>
      <c r="V23" s="72">
        <f t="shared" si="10"/>
        <v>0</v>
      </c>
      <c r="W23" s="73">
        <f t="shared" si="11"/>
        <v>0</v>
      </c>
      <c r="X23" s="74">
        <f t="shared" si="12"/>
        <v>0</v>
      </c>
      <c r="Y23" s="44" t="e">
        <f t="shared" si="13"/>
        <v>#DIV/0!</v>
      </c>
    </row>
    <row r="24" spans="2:25" x14ac:dyDescent="0.25">
      <c r="B24" s="20" t="str">
        <f>+'County Data'!$B$14</f>
        <v>Columbia</v>
      </c>
      <c r="C24" s="15">
        <f>VLOOKUP($B24,'County Data'!$B$10:$P$46,2,FALSE)</f>
        <v>53280</v>
      </c>
      <c r="D24" s="26" t="str">
        <f>VLOOKUP($B24,'County Data'!$B$9:$P$46,12,FALSE)</f>
        <v>Y</v>
      </c>
      <c r="E24" s="72">
        <f>IF(D24="Y",$C$3*Input!$C$28/36*E$4,0)</f>
        <v>0</v>
      </c>
      <c r="F24" s="15">
        <f t="shared" si="0"/>
        <v>53280</v>
      </c>
      <c r="G24" s="72">
        <f t="shared" si="1"/>
        <v>0</v>
      </c>
      <c r="H24" s="73">
        <f t="shared" si="2"/>
        <v>0</v>
      </c>
      <c r="I24" s="26">
        <f>VLOOKUP($B24,'County Data'!$B$9:$P$46,13,FALSE)</f>
        <v>0</v>
      </c>
      <c r="J24" s="45">
        <f>IF(I24="Y",$C$3*Input!$C$28/36*J$4,0)</f>
        <v>0</v>
      </c>
      <c r="K24" s="15">
        <f t="shared" si="3"/>
        <v>0</v>
      </c>
      <c r="L24" s="72">
        <f t="shared" si="4"/>
        <v>0</v>
      </c>
      <c r="M24" s="73">
        <f t="shared" si="5"/>
        <v>0</v>
      </c>
      <c r="N24" s="26">
        <f>VLOOKUP($B24,'County Data'!$B$9:$P$46,14,FALSE)</f>
        <v>0</v>
      </c>
      <c r="O24" s="45">
        <f>IF(N24="Y",$C$3*Input!$C$28/36*O$4,0)</f>
        <v>0</v>
      </c>
      <c r="P24" s="15">
        <f t="shared" si="6"/>
        <v>0</v>
      </c>
      <c r="Q24" s="72">
        <f t="shared" si="7"/>
        <v>0</v>
      </c>
      <c r="R24" s="73">
        <f t="shared" si="8"/>
        <v>0</v>
      </c>
      <c r="S24" s="26">
        <f>VLOOKUP($B24,'County Data'!$B$9:$P$46,15,FALSE)</f>
        <v>0</v>
      </c>
      <c r="T24" s="45">
        <f>IF(S24="Y",$C$3*Input!$C$28/36*T$4,0)</f>
        <v>0</v>
      </c>
      <c r="U24" s="15">
        <f t="shared" si="9"/>
        <v>0</v>
      </c>
      <c r="V24" s="72">
        <f t="shared" si="10"/>
        <v>0</v>
      </c>
      <c r="W24" s="73">
        <f t="shared" si="11"/>
        <v>0</v>
      </c>
      <c r="X24" s="74">
        <f t="shared" si="12"/>
        <v>0</v>
      </c>
      <c r="Y24" s="44">
        <f t="shared" si="13"/>
        <v>0</v>
      </c>
    </row>
    <row r="25" spans="2:25" x14ac:dyDescent="0.25">
      <c r="B25" s="20" t="str">
        <f>+'County Data'!$B$15</f>
        <v>Coos</v>
      </c>
      <c r="C25" s="15">
        <f>VLOOKUP($B25,'County Data'!$B$10:$P$46,2,FALSE)</f>
        <v>63315</v>
      </c>
      <c r="D25" s="26" t="str">
        <f>VLOOKUP($B25,'County Data'!$B$9:$P$46,12,FALSE)</f>
        <v>Y</v>
      </c>
      <c r="E25" s="72">
        <f>IF(D25="Y",$C$3*Input!$C$28/36*E$4,0)</f>
        <v>0</v>
      </c>
      <c r="F25" s="15">
        <f t="shared" si="0"/>
        <v>63315</v>
      </c>
      <c r="G25" s="72">
        <f t="shared" si="1"/>
        <v>0</v>
      </c>
      <c r="H25" s="73">
        <f t="shared" si="2"/>
        <v>0</v>
      </c>
      <c r="I25" s="26">
        <f>VLOOKUP($B25,'County Data'!$B$9:$P$46,13,FALSE)</f>
        <v>0</v>
      </c>
      <c r="J25" s="45">
        <f>IF(I25="Y",$C$3*Input!$C$28/36*J$4,0)</f>
        <v>0</v>
      </c>
      <c r="K25" s="15">
        <f t="shared" si="3"/>
        <v>0</v>
      </c>
      <c r="L25" s="72">
        <f t="shared" si="4"/>
        <v>0</v>
      </c>
      <c r="M25" s="73">
        <f t="shared" si="5"/>
        <v>0</v>
      </c>
      <c r="N25" s="26">
        <f>VLOOKUP($B25,'County Data'!$B$9:$P$46,14,FALSE)</f>
        <v>0</v>
      </c>
      <c r="O25" s="45">
        <f>IF(N25="Y",$C$3*Input!$C$28/36*O$4,0)</f>
        <v>0</v>
      </c>
      <c r="P25" s="15">
        <f t="shared" si="6"/>
        <v>0</v>
      </c>
      <c r="Q25" s="72">
        <f t="shared" si="7"/>
        <v>0</v>
      </c>
      <c r="R25" s="73">
        <f t="shared" si="8"/>
        <v>0</v>
      </c>
      <c r="S25" s="26">
        <f>VLOOKUP($B25,'County Data'!$B$9:$P$46,15,FALSE)</f>
        <v>0</v>
      </c>
      <c r="T25" s="45">
        <f>IF(S25="Y",$C$3*Input!$C$28/36*T$4,0)</f>
        <v>0</v>
      </c>
      <c r="U25" s="15">
        <f t="shared" si="9"/>
        <v>0</v>
      </c>
      <c r="V25" s="72">
        <f t="shared" si="10"/>
        <v>0</v>
      </c>
      <c r="W25" s="73">
        <f t="shared" si="11"/>
        <v>0</v>
      </c>
      <c r="X25" s="74">
        <f t="shared" si="12"/>
        <v>0</v>
      </c>
      <c r="Y25" s="44">
        <f t="shared" si="13"/>
        <v>0</v>
      </c>
    </row>
    <row r="26" spans="2:25" x14ac:dyDescent="0.25">
      <c r="B26" s="20" t="str">
        <f>+'County Data'!$B$27</f>
        <v>Klamath</v>
      </c>
      <c r="C26" s="15">
        <f>VLOOKUP($B26,'County Data'!$B$10:$P$46,2,FALSE)</f>
        <v>68075</v>
      </c>
      <c r="D26" s="26" t="str">
        <f>VLOOKUP($B26,'County Data'!$B$9:$P$46,12,FALSE)</f>
        <v>Y</v>
      </c>
      <c r="E26" s="72">
        <f>IF(D26="Y",$C$3*Input!$C$28/36*E$4,0)</f>
        <v>0</v>
      </c>
      <c r="F26" s="15">
        <f t="shared" si="0"/>
        <v>68075</v>
      </c>
      <c r="G26" s="72">
        <f t="shared" si="1"/>
        <v>0</v>
      </c>
      <c r="H26" s="73">
        <f t="shared" si="2"/>
        <v>0</v>
      </c>
      <c r="I26" s="26">
        <f>VLOOKUP($B26,'County Data'!$B$9:$P$46,13,FALSE)</f>
        <v>0</v>
      </c>
      <c r="J26" s="45">
        <f>IF(I26="Y",$C$3*Input!$C$28/36*J$4,0)</f>
        <v>0</v>
      </c>
      <c r="K26" s="15">
        <f t="shared" si="3"/>
        <v>0</v>
      </c>
      <c r="L26" s="72">
        <f t="shared" si="4"/>
        <v>0</v>
      </c>
      <c r="M26" s="73">
        <f t="shared" si="5"/>
        <v>0</v>
      </c>
      <c r="N26" s="26">
        <f>VLOOKUP($B26,'County Data'!$B$9:$P$46,14,FALSE)</f>
        <v>0</v>
      </c>
      <c r="O26" s="45">
        <f>IF(N26="Y",$C$3*Input!$C$28/36*O$4,0)</f>
        <v>0</v>
      </c>
      <c r="P26" s="15">
        <f t="shared" si="6"/>
        <v>0</v>
      </c>
      <c r="Q26" s="72">
        <f t="shared" si="7"/>
        <v>0</v>
      </c>
      <c r="R26" s="73">
        <f t="shared" si="8"/>
        <v>0</v>
      </c>
      <c r="S26" s="26">
        <f>VLOOKUP($B26,'County Data'!$B$9:$P$46,15,FALSE)</f>
        <v>0</v>
      </c>
      <c r="T26" s="45">
        <f>IF(S26="Y",$C$3*Input!$C$28/36*T$4,0)</f>
        <v>0</v>
      </c>
      <c r="U26" s="15">
        <f t="shared" si="9"/>
        <v>0</v>
      </c>
      <c r="V26" s="72">
        <f t="shared" si="10"/>
        <v>0</v>
      </c>
      <c r="W26" s="73">
        <f t="shared" si="11"/>
        <v>0</v>
      </c>
      <c r="X26" s="74">
        <f t="shared" si="12"/>
        <v>0</v>
      </c>
      <c r="Y26" s="44">
        <f t="shared" si="13"/>
        <v>0</v>
      </c>
    </row>
    <row r="27" spans="2:25" x14ac:dyDescent="0.25">
      <c r="B27" s="20" t="str">
        <f>+'County Data'!$B$37</f>
        <v>Polk</v>
      </c>
      <c r="C27" s="15">
        <f>VLOOKUP($B27,'County Data'!$B$10:$P$46,2,FALSE)</f>
        <v>83805</v>
      </c>
      <c r="D27" s="26" t="str">
        <f>VLOOKUP($B27,'County Data'!$B$9:$P$46,12,FALSE)</f>
        <v>Y</v>
      </c>
      <c r="E27" s="72">
        <f>IF(D27="Y",$C$3*Input!$C$28/36*E$4,0)</f>
        <v>0</v>
      </c>
      <c r="F27" s="15">
        <f t="shared" si="0"/>
        <v>83805</v>
      </c>
      <c r="G27" s="72">
        <f t="shared" si="1"/>
        <v>0</v>
      </c>
      <c r="H27" s="73">
        <f t="shared" si="2"/>
        <v>0</v>
      </c>
      <c r="I27" s="26">
        <f>VLOOKUP($B27,'County Data'!$B$9:$P$46,13,FALSE)</f>
        <v>0</v>
      </c>
      <c r="J27" s="45">
        <f>IF(I27="Y",$C$3*Input!$C$28/36*J$4,0)</f>
        <v>0</v>
      </c>
      <c r="K27" s="15">
        <f t="shared" si="3"/>
        <v>0</v>
      </c>
      <c r="L27" s="72">
        <f t="shared" si="4"/>
        <v>0</v>
      </c>
      <c r="M27" s="73">
        <f t="shared" si="5"/>
        <v>0</v>
      </c>
      <c r="N27" s="26">
        <f>VLOOKUP($B27,'County Data'!$B$9:$P$46,14,FALSE)</f>
        <v>0</v>
      </c>
      <c r="O27" s="45">
        <f>IF(N27="Y",$C$3*Input!$C$28/36*O$4,0)</f>
        <v>0</v>
      </c>
      <c r="P27" s="15">
        <f t="shared" si="6"/>
        <v>0</v>
      </c>
      <c r="Q27" s="72">
        <f t="shared" si="7"/>
        <v>0</v>
      </c>
      <c r="R27" s="73">
        <f t="shared" si="8"/>
        <v>0</v>
      </c>
      <c r="S27" s="26">
        <f>VLOOKUP($B27,'County Data'!$B$9:$P$46,15,FALSE)</f>
        <v>0</v>
      </c>
      <c r="T27" s="45">
        <f>IF(S27="Y",$C$3*Input!$C$28/36*T$4,0)</f>
        <v>0</v>
      </c>
      <c r="U27" s="15">
        <f t="shared" si="9"/>
        <v>0</v>
      </c>
      <c r="V27" s="72">
        <f t="shared" si="10"/>
        <v>0</v>
      </c>
      <c r="W27" s="73">
        <f t="shared" si="11"/>
        <v>0</v>
      </c>
      <c r="X27" s="74">
        <f t="shared" si="12"/>
        <v>0</v>
      </c>
      <c r="Y27" s="44">
        <f t="shared" si="13"/>
        <v>0</v>
      </c>
    </row>
    <row r="28" spans="2:25" x14ac:dyDescent="0.25">
      <c r="B28" s="20" t="str">
        <f>+'County Data'!$B$40</f>
        <v>Umatilla</v>
      </c>
      <c r="C28" s="15">
        <f>VLOOKUP($B28,'County Data'!$B$10:$P$46,2,FALSE)</f>
        <v>81495</v>
      </c>
      <c r="D28" s="26" t="str">
        <f>VLOOKUP($B28,'County Data'!$B$9:$P$46,12,FALSE)</f>
        <v>Y</v>
      </c>
      <c r="E28" s="72">
        <f>IF(D28="Y",$C$3*Input!$C$28/36*E$4,0)</f>
        <v>0</v>
      </c>
      <c r="F28" s="15">
        <f t="shared" si="0"/>
        <v>81495</v>
      </c>
      <c r="G28" s="72">
        <f t="shared" si="1"/>
        <v>0</v>
      </c>
      <c r="H28" s="73">
        <f t="shared" si="2"/>
        <v>0</v>
      </c>
      <c r="I28" s="26">
        <f>VLOOKUP($B28,'County Data'!$B$9:$P$46,13,FALSE)</f>
        <v>0</v>
      </c>
      <c r="J28" s="45">
        <f>IF(I28="Y",$C$3*Input!$C$28/36*J$4,0)</f>
        <v>0</v>
      </c>
      <c r="K28" s="15">
        <f t="shared" si="3"/>
        <v>0</v>
      </c>
      <c r="L28" s="72">
        <f t="shared" si="4"/>
        <v>0</v>
      </c>
      <c r="M28" s="73">
        <f t="shared" si="5"/>
        <v>0</v>
      </c>
      <c r="N28" s="26">
        <f>VLOOKUP($B28,'County Data'!$B$9:$P$46,14,FALSE)</f>
        <v>0</v>
      </c>
      <c r="O28" s="45">
        <f>IF(N28="Y",$C$3*Input!$C$28/36*O$4,0)</f>
        <v>0</v>
      </c>
      <c r="P28" s="15">
        <f t="shared" si="6"/>
        <v>0</v>
      </c>
      <c r="Q28" s="72">
        <f t="shared" si="7"/>
        <v>0</v>
      </c>
      <c r="R28" s="73">
        <f t="shared" si="8"/>
        <v>0</v>
      </c>
      <c r="S28" s="26">
        <f>VLOOKUP($B28,'County Data'!$B$9:$P$46,15,FALSE)</f>
        <v>0</v>
      </c>
      <c r="T28" s="45">
        <f>IF(S28="Y",$C$3*Input!$C$28/36*T$4,0)</f>
        <v>0</v>
      </c>
      <c r="U28" s="15">
        <f t="shared" si="9"/>
        <v>0</v>
      </c>
      <c r="V28" s="72">
        <f t="shared" si="10"/>
        <v>0</v>
      </c>
      <c r="W28" s="73">
        <f t="shared" si="11"/>
        <v>0</v>
      </c>
      <c r="X28" s="74">
        <f t="shared" si="12"/>
        <v>0</v>
      </c>
      <c r="Y28" s="44">
        <f t="shared" si="13"/>
        <v>0</v>
      </c>
    </row>
    <row r="29" spans="2:25" x14ac:dyDescent="0.25">
      <c r="B29" s="20" t="str">
        <f>+'County Data'!$B$26</f>
        <v>Josephine</v>
      </c>
      <c r="C29" s="15">
        <f>VLOOKUP($B29,'County Data'!$B$10:$P$46,2,FALSE)</f>
        <v>86560</v>
      </c>
      <c r="D29" s="26" t="str">
        <f>VLOOKUP($B29,'County Data'!$B$9:$P$46,12,FALSE)</f>
        <v>Y</v>
      </c>
      <c r="E29" s="72">
        <f>IF(D29="Y",$C$3*Input!$C$28/36*E$4,0)</f>
        <v>0</v>
      </c>
      <c r="F29" s="15">
        <f t="shared" si="0"/>
        <v>86560</v>
      </c>
      <c r="G29" s="72">
        <f t="shared" si="1"/>
        <v>0</v>
      </c>
      <c r="H29" s="73">
        <f t="shared" si="2"/>
        <v>0</v>
      </c>
      <c r="I29" s="26">
        <f>VLOOKUP($B29,'County Data'!$B$9:$P$46,13,FALSE)</f>
        <v>0</v>
      </c>
      <c r="J29" s="45">
        <f>IF(I29="Y",$C$3*Input!$C$28/36*J$4,0)</f>
        <v>0</v>
      </c>
      <c r="K29" s="15">
        <f t="shared" si="3"/>
        <v>0</v>
      </c>
      <c r="L29" s="72">
        <f t="shared" si="4"/>
        <v>0</v>
      </c>
      <c r="M29" s="73">
        <f t="shared" si="5"/>
        <v>0</v>
      </c>
      <c r="N29" s="26">
        <f>VLOOKUP($B29,'County Data'!$B$9:$P$46,14,FALSE)</f>
        <v>0</v>
      </c>
      <c r="O29" s="45">
        <f>IF(N29="Y",$C$3*Input!$C$28/36*O$4,0)</f>
        <v>0</v>
      </c>
      <c r="P29" s="15">
        <f t="shared" si="6"/>
        <v>0</v>
      </c>
      <c r="Q29" s="72">
        <f t="shared" si="7"/>
        <v>0</v>
      </c>
      <c r="R29" s="73">
        <f t="shared" si="8"/>
        <v>0</v>
      </c>
      <c r="S29" s="26">
        <f>VLOOKUP($B29,'County Data'!$B$9:$P$46,15,FALSE)</f>
        <v>0</v>
      </c>
      <c r="T29" s="45">
        <f>IF(S29="Y",$C$3*Input!$C$28/36*T$4,0)</f>
        <v>0</v>
      </c>
      <c r="U29" s="15">
        <f t="shared" si="9"/>
        <v>0</v>
      </c>
      <c r="V29" s="72">
        <f t="shared" si="10"/>
        <v>0</v>
      </c>
      <c r="W29" s="73">
        <f t="shared" si="11"/>
        <v>0</v>
      </c>
      <c r="X29" s="74">
        <f t="shared" si="12"/>
        <v>0</v>
      </c>
      <c r="Y29" s="44">
        <f t="shared" si="13"/>
        <v>0</v>
      </c>
    </row>
    <row r="30" spans="2:25" x14ac:dyDescent="0.25">
      <c r="B30" s="20" t="str">
        <f>+'County Data'!$B$11</f>
        <v>Benton</v>
      </c>
      <c r="C30" s="15">
        <f>VLOOKUP($B30,'County Data'!$B$10:$P$46,2,FALSE)</f>
        <v>0</v>
      </c>
      <c r="D30" s="26" t="str">
        <f>VLOOKUP($B30,'County Data'!$B$9:$P$46,12,FALSE)</f>
        <v>Y</v>
      </c>
      <c r="E30" s="72">
        <f>IF(D30="Y",$C$3*Input!$C$28/36*E$4,0)</f>
        <v>0</v>
      </c>
      <c r="F30" s="15">
        <f t="shared" si="0"/>
        <v>0</v>
      </c>
      <c r="G30" s="72">
        <f t="shared" si="1"/>
        <v>0</v>
      </c>
      <c r="H30" s="73">
        <f t="shared" si="2"/>
        <v>0</v>
      </c>
      <c r="I30" s="26">
        <f>VLOOKUP($B30,'County Data'!$B$9:$P$46,13,FALSE)</f>
        <v>0</v>
      </c>
      <c r="J30" s="45">
        <f>IF(I30="Y",$C$3*Input!$C$28/36*J$4,0)</f>
        <v>0</v>
      </c>
      <c r="K30" s="15">
        <f t="shared" si="3"/>
        <v>0</v>
      </c>
      <c r="L30" s="72">
        <f t="shared" si="4"/>
        <v>0</v>
      </c>
      <c r="M30" s="73">
        <f t="shared" si="5"/>
        <v>0</v>
      </c>
      <c r="N30" s="26">
        <f>VLOOKUP($B30,'County Data'!$B$9:$P$46,14,FALSE)</f>
        <v>0</v>
      </c>
      <c r="O30" s="45">
        <f>IF(N30="Y",$C$3*Input!$C$28/36*O$4,0)</f>
        <v>0</v>
      </c>
      <c r="P30" s="15">
        <f t="shared" si="6"/>
        <v>0</v>
      </c>
      <c r="Q30" s="72">
        <f t="shared" si="7"/>
        <v>0</v>
      </c>
      <c r="R30" s="73">
        <f t="shared" si="8"/>
        <v>0</v>
      </c>
      <c r="S30" s="26">
        <f>VLOOKUP($B30,'County Data'!$B$9:$P$46,15,FALSE)</f>
        <v>0</v>
      </c>
      <c r="T30" s="45">
        <f>IF(S30="Y",$C$3*Input!$C$28/36*T$4,0)</f>
        <v>0</v>
      </c>
      <c r="U30" s="15">
        <f t="shared" si="9"/>
        <v>0</v>
      </c>
      <c r="V30" s="72">
        <f t="shared" si="10"/>
        <v>0</v>
      </c>
      <c r="W30" s="73">
        <f t="shared" si="11"/>
        <v>0</v>
      </c>
      <c r="X30" s="74">
        <f t="shared" si="12"/>
        <v>0</v>
      </c>
      <c r="Y30" s="44" t="e">
        <f t="shared" si="13"/>
        <v>#DIV/0!</v>
      </c>
    </row>
    <row r="31" spans="2:25" x14ac:dyDescent="0.25">
      <c r="B31" s="20" t="str">
        <f>+'County Data'!$B$46</f>
        <v>Yamhill</v>
      </c>
      <c r="C31" s="15">
        <f>VLOOKUP($B31,'County Data'!$B$10:$P$46,2,FALSE)</f>
        <v>108605</v>
      </c>
      <c r="D31" s="26" t="str">
        <f>VLOOKUP($B31,'County Data'!$B$9:$P$46,12,FALSE)</f>
        <v>Y</v>
      </c>
      <c r="E31" s="72">
        <f>IF(D31="Y",$C$3*Input!$C$28/36*E$4,0)</f>
        <v>0</v>
      </c>
      <c r="F31" s="15">
        <f t="shared" si="0"/>
        <v>108605</v>
      </c>
      <c r="G31" s="72">
        <f t="shared" si="1"/>
        <v>0</v>
      </c>
      <c r="H31" s="73">
        <f t="shared" si="2"/>
        <v>0</v>
      </c>
      <c r="I31" s="26">
        <f>VLOOKUP($B31,'County Data'!$B$9:$P$46,13,FALSE)</f>
        <v>0</v>
      </c>
      <c r="J31" s="45">
        <f>IF(I31="Y",$C$3*Input!$C$28/36*J$4,0)</f>
        <v>0</v>
      </c>
      <c r="K31" s="15">
        <f t="shared" si="3"/>
        <v>0</v>
      </c>
      <c r="L31" s="72">
        <f t="shared" si="4"/>
        <v>0</v>
      </c>
      <c r="M31" s="73">
        <f t="shared" si="5"/>
        <v>0</v>
      </c>
      <c r="N31" s="26">
        <f>VLOOKUP($B31,'County Data'!$B$9:$P$46,14,FALSE)</f>
        <v>0</v>
      </c>
      <c r="O31" s="45">
        <f>IF(N31="Y",$C$3*Input!$C$28/36*O$4,0)</f>
        <v>0</v>
      </c>
      <c r="P31" s="15">
        <f t="shared" si="6"/>
        <v>0</v>
      </c>
      <c r="Q31" s="72">
        <f t="shared" si="7"/>
        <v>0</v>
      </c>
      <c r="R31" s="73">
        <f t="shared" si="8"/>
        <v>0</v>
      </c>
      <c r="S31" s="26">
        <f>VLOOKUP($B31,'County Data'!$B$9:$P$46,15,FALSE)</f>
        <v>0</v>
      </c>
      <c r="T31" s="45">
        <f>IF(S31="Y",$C$3*Input!$C$28/36*T$4,0)</f>
        <v>0</v>
      </c>
      <c r="U31" s="15">
        <f t="shared" si="9"/>
        <v>0</v>
      </c>
      <c r="V31" s="72">
        <f t="shared" si="10"/>
        <v>0</v>
      </c>
      <c r="W31" s="73">
        <f t="shared" si="11"/>
        <v>0</v>
      </c>
      <c r="X31" s="74">
        <f t="shared" si="12"/>
        <v>0</v>
      </c>
      <c r="Y31" s="44">
        <f t="shared" si="13"/>
        <v>0</v>
      </c>
    </row>
    <row r="32" spans="2:25" x14ac:dyDescent="0.25">
      <c r="B32" s="20" t="str">
        <f>+'County Data'!$B$19</f>
        <v>Douglas</v>
      </c>
      <c r="C32" s="15">
        <f>VLOOKUP($B32,'County Data'!$B$10:$P$46,2,FALSE)</f>
        <v>112530</v>
      </c>
      <c r="D32" s="26" t="str">
        <f>VLOOKUP($B32,'County Data'!$B$9:$P$46,12,FALSE)</f>
        <v>Y</v>
      </c>
      <c r="E32" s="72">
        <f>IF(D32="Y",$C$3*Input!$C$28/36*E$4,0)</f>
        <v>0</v>
      </c>
      <c r="F32" s="15">
        <f t="shared" si="0"/>
        <v>112530</v>
      </c>
      <c r="G32" s="72">
        <f t="shared" si="1"/>
        <v>0</v>
      </c>
      <c r="H32" s="73">
        <f t="shared" si="2"/>
        <v>0</v>
      </c>
      <c r="I32" s="26">
        <f>VLOOKUP($B32,'County Data'!$B$9:$P$46,13,FALSE)</f>
        <v>0</v>
      </c>
      <c r="J32" s="45">
        <f>IF(I32="Y",$C$3*Input!$C$28/36*J$4,0)</f>
        <v>0</v>
      </c>
      <c r="K32" s="15">
        <f t="shared" si="3"/>
        <v>0</v>
      </c>
      <c r="L32" s="72">
        <f t="shared" si="4"/>
        <v>0</v>
      </c>
      <c r="M32" s="73">
        <f t="shared" si="5"/>
        <v>0</v>
      </c>
      <c r="N32" s="26">
        <f>VLOOKUP($B32,'County Data'!$B$9:$P$46,14,FALSE)</f>
        <v>0</v>
      </c>
      <c r="O32" s="45">
        <f>IF(N32="Y",$C$3*Input!$C$28/36*O$4,0)</f>
        <v>0</v>
      </c>
      <c r="P32" s="15">
        <f t="shared" si="6"/>
        <v>0</v>
      </c>
      <c r="Q32" s="72">
        <f t="shared" si="7"/>
        <v>0</v>
      </c>
      <c r="R32" s="73">
        <f t="shared" si="8"/>
        <v>0</v>
      </c>
      <c r="S32" s="26">
        <f>VLOOKUP($B32,'County Data'!$B$9:$P$46,15,FALSE)</f>
        <v>0</v>
      </c>
      <c r="T32" s="45">
        <f>IF(S32="Y",$C$3*Input!$C$28/36*T$4,0)</f>
        <v>0</v>
      </c>
      <c r="U32" s="15">
        <f t="shared" si="9"/>
        <v>0</v>
      </c>
      <c r="V32" s="72">
        <f t="shared" si="10"/>
        <v>0</v>
      </c>
      <c r="W32" s="73">
        <f t="shared" si="11"/>
        <v>0</v>
      </c>
      <c r="X32" s="74">
        <f t="shared" si="12"/>
        <v>0</v>
      </c>
      <c r="Y32" s="44">
        <f t="shared" si="13"/>
        <v>0</v>
      </c>
    </row>
    <row r="33" spans="2:25" x14ac:dyDescent="0.25">
      <c r="B33" s="20" t="str">
        <f>+'County Data'!$B$31</f>
        <v>Linn</v>
      </c>
      <c r="C33" s="15">
        <f>VLOOKUP($B33,'County Data'!$B$10:$P$46,2,FALSE)</f>
        <v>0</v>
      </c>
      <c r="D33" s="26" t="str">
        <f>VLOOKUP($B33,'County Data'!$B$9:$P$46,12,FALSE)</f>
        <v>Y</v>
      </c>
      <c r="E33" s="72">
        <f>IF(D33="Y",$C$3*Input!$C$28/36*E$4,0)</f>
        <v>0</v>
      </c>
      <c r="F33" s="15">
        <f t="shared" si="0"/>
        <v>0</v>
      </c>
      <c r="G33" s="72">
        <f t="shared" si="1"/>
        <v>0</v>
      </c>
      <c r="H33" s="73">
        <f t="shared" si="2"/>
        <v>0</v>
      </c>
      <c r="I33" s="26">
        <f>VLOOKUP($B33,'County Data'!$B$9:$P$46,13,FALSE)</f>
        <v>0</v>
      </c>
      <c r="J33" s="45">
        <f>IF(I33="Y",$C$3*Input!$C$28/36*J$4,0)</f>
        <v>0</v>
      </c>
      <c r="K33" s="15">
        <f t="shared" si="3"/>
        <v>0</v>
      </c>
      <c r="L33" s="72">
        <f t="shared" si="4"/>
        <v>0</v>
      </c>
      <c r="M33" s="73">
        <f t="shared" si="5"/>
        <v>0</v>
      </c>
      <c r="N33" s="26">
        <f>VLOOKUP($B33,'County Data'!$B$9:$P$46,14,FALSE)</f>
        <v>0</v>
      </c>
      <c r="O33" s="45">
        <f>IF(N33="Y",$C$3*Input!$C$28/36*O$4,0)</f>
        <v>0</v>
      </c>
      <c r="P33" s="15">
        <f t="shared" si="6"/>
        <v>0</v>
      </c>
      <c r="Q33" s="72">
        <f t="shared" si="7"/>
        <v>0</v>
      </c>
      <c r="R33" s="73">
        <f t="shared" si="8"/>
        <v>0</v>
      </c>
      <c r="S33" s="26">
        <f>VLOOKUP($B33,'County Data'!$B$9:$P$46,15,FALSE)</f>
        <v>0</v>
      </c>
      <c r="T33" s="45">
        <f>IF(S33="Y",$C$3*Input!$C$28/36*T$4,0)</f>
        <v>0</v>
      </c>
      <c r="U33" s="15">
        <f t="shared" si="9"/>
        <v>0</v>
      </c>
      <c r="V33" s="72">
        <f t="shared" si="10"/>
        <v>0</v>
      </c>
      <c r="W33" s="73">
        <f t="shared" si="11"/>
        <v>0</v>
      </c>
      <c r="X33" s="74">
        <f t="shared" si="12"/>
        <v>0</v>
      </c>
      <c r="Y33" s="44" t="e">
        <f t="shared" si="13"/>
        <v>#DIV/0!</v>
      </c>
    </row>
    <row r="34" spans="2:25" x14ac:dyDescent="0.25">
      <c r="B34" s="20" t="str">
        <f>+'County Data'!$B$18</f>
        <v>Deschutes</v>
      </c>
      <c r="C34" s="15">
        <f>VLOOKUP($B34,'County Data'!$B$10:$P$46,2,FALSE)</f>
        <v>0</v>
      </c>
      <c r="D34" s="26" t="str">
        <f>VLOOKUP($B34,'County Data'!$B$9:$P$46,12,FALSE)</f>
        <v>Y</v>
      </c>
      <c r="E34" s="72">
        <f>IF(D34="Y",$C$3*Input!$C$28/36*E$4,0)</f>
        <v>0</v>
      </c>
      <c r="F34" s="15">
        <f t="shared" si="0"/>
        <v>0</v>
      </c>
      <c r="G34" s="72">
        <f t="shared" si="1"/>
        <v>0</v>
      </c>
      <c r="H34" s="73">
        <f t="shared" si="2"/>
        <v>0</v>
      </c>
      <c r="I34" s="26">
        <f>VLOOKUP($B34,'County Data'!$B$9:$P$46,13,FALSE)</f>
        <v>0</v>
      </c>
      <c r="J34" s="45">
        <f>IF(I34="Y",$C$3*Input!$C$28/36*J$4,0)</f>
        <v>0</v>
      </c>
      <c r="K34" s="15">
        <f t="shared" si="3"/>
        <v>0</v>
      </c>
      <c r="L34" s="72">
        <f t="shared" si="4"/>
        <v>0</v>
      </c>
      <c r="M34" s="73">
        <f t="shared" si="5"/>
        <v>0</v>
      </c>
      <c r="N34" s="26">
        <f>VLOOKUP($B34,'County Data'!$B$9:$P$46,14,FALSE)</f>
        <v>0</v>
      </c>
      <c r="O34" s="45">
        <f>IF(N34="Y",$C$3*Input!$C$28/36*O$4,0)</f>
        <v>0</v>
      </c>
      <c r="P34" s="15">
        <f t="shared" si="6"/>
        <v>0</v>
      </c>
      <c r="Q34" s="72">
        <f t="shared" si="7"/>
        <v>0</v>
      </c>
      <c r="R34" s="73">
        <f t="shared" si="8"/>
        <v>0</v>
      </c>
      <c r="S34" s="26">
        <f>VLOOKUP($B34,'County Data'!$B$9:$P$46,15,FALSE)</f>
        <v>0</v>
      </c>
      <c r="T34" s="45">
        <f>IF(S34="Y",$C$3*Input!$C$28/36*T$4,0)</f>
        <v>0</v>
      </c>
      <c r="U34" s="15">
        <f t="shared" si="9"/>
        <v>0</v>
      </c>
      <c r="V34" s="72">
        <f t="shared" si="10"/>
        <v>0</v>
      </c>
      <c r="W34" s="73">
        <f t="shared" si="11"/>
        <v>0</v>
      </c>
      <c r="X34" s="74">
        <f t="shared" si="12"/>
        <v>0</v>
      </c>
      <c r="Y34" s="44" t="e">
        <f t="shared" si="13"/>
        <v>#DIV/0!</v>
      </c>
    </row>
    <row r="35" spans="2:25" x14ac:dyDescent="0.25">
      <c r="B35" s="20" t="str">
        <f>+'County Data'!$B$24</f>
        <v>Jackson</v>
      </c>
      <c r="C35" s="15">
        <f>VLOOKUP($B35,'County Data'!$B$10:$P$46,2,FALSE)</f>
        <v>0</v>
      </c>
      <c r="D35" s="26" t="str">
        <f>VLOOKUP($B35,'County Data'!$B$9:$P$46,12,FALSE)</f>
        <v>Y</v>
      </c>
      <c r="E35" s="72">
        <f>IF(D35="Y",$C$3*Input!$C$28/36*E$4,0)</f>
        <v>0</v>
      </c>
      <c r="F35" s="15">
        <f t="shared" si="0"/>
        <v>0</v>
      </c>
      <c r="G35" s="72">
        <f t="shared" si="1"/>
        <v>0</v>
      </c>
      <c r="H35" s="73">
        <f t="shared" si="2"/>
        <v>0</v>
      </c>
      <c r="I35" s="26">
        <f>VLOOKUP($B35,'County Data'!$B$9:$P$46,13,FALSE)</f>
        <v>0</v>
      </c>
      <c r="J35" s="45">
        <f>IF(I35="Y",$C$3*Input!$C$28/36*J$4,0)</f>
        <v>0</v>
      </c>
      <c r="K35" s="15">
        <f t="shared" si="3"/>
        <v>0</v>
      </c>
      <c r="L35" s="72">
        <f t="shared" si="4"/>
        <v>0</v>
      </c>
      <c r="M35" s="73">
        <f t="shared" si="5"/>
        <v>0</v>
      </c>
      <c r="N35" s="26">
        <f>VLOOKUP($B35,'County Data'!$B$9:$P$46,14,FALSE)</f>
        <v>0</v>
      </c>
      <c r="O35" s="45">
        <f>IF(N35="Y",$C$3*Input!$C$28/36*O$4,0)</f>
        <v>0</v>
      </c>
      <c r="P35" s="15">
        <f t="shared" si="6"/>
        <v>0</v>
      </c>
      <c r="Q35" s="72">
        <f t="shared" si="7"/>
        <v>0</v>
      </c>
      <c r="R35" s="73">
        <f t="shared" si="8"/>
        <v>0</v>
      </c>
      <c r="S35" s="26">
        <f>VLOOKUP($B35,'County Data'!$B$9:$P$46,15,FALSE)</f>
        <v>0</v>
      </c>
      <c r="T35" s="45">
        <f>IF(S35="Y",$C$3*Input!$C$28/36*T$4,0)</f>
        <v>0</v>
      </c>
      <c r="U35" s="15">
        <f t="shared" si="9"/>
        <v>0</v>
      </c>
      <c r="V35" s="72">
        <f t="shared" si="10"/>
        <v>0</v>
      </c>
      <c r="W35" s="73">
        <f t="shared" si="11"/>
        <v>0</v>
      </c>
      <c r="X35" s="74">
        <f t="shared" si="12"/>
        <v>0</v>
      </c>
      <c r="Y35" s="44" t="e">
        <f t="shared" si="13"/>
        <v>#DIV/0!</v>
      </c>
    </row>
    <row r="36" spans="2:25" x14ac:dyDescent="0.25">
      <c r="B36" s="20" t="str">
        <f>+'County Data'!$B$33</f>
        <v>Marion</v>
      </c>
      <c r="C36" s="15">
        <f>VLOOKUP($B36,'County Data'!$B$10:$P$46,2,FALSE)</f>
        <v>0</v>
      </c>
      <c r="D36" s="26" t="str">
        <f>VLOOKUP($B36,'County Data'!$B$9:$P$46,12,FALSE)</f>
        <v>Y</v>
      </c>
      <c r="E36" s="72">
        <f>IF(D36="Y",$C$3*Input!$C$28/36*E$4,0)</f>
        <v>0</v>
      </c>
      <c r="F36" s="15">
        <f t="shared" si="0"/>
        <v>0</v>
      </c>
      <c r="G36" s="72">
        <f t="shared" si="1"/>
        <v>0</v>
      </c>
      <c r="H36" s="73">
        <f t="shared" si="2"/>
        <v>0</v>
      </c>
      <c r="I36" s="26">
        <f>VLOOKUP($B36,'County Data'!$B$9:$P$46,13,FALSE)</f>
        <v>0</v>
      </c>
      <c r="J36" s="45">
        <f>IF(I36="Y",$C$3*Input!$C$28/36*J$4,0)</f>
        <v>0</v>
      </c>
      <c r="K36" s="15">
        <f t="shared" si="3"/>
        <v>0</v>
      </c>
      <c r="L36" s="72">
        <f t="shared" si="4"/>
        <v>0</v>
      </c>
      <c r="M36" s="73">
        <f t="shared" si="5"/>
        <v>0</v>
      </c>
      <c r="N36" s="26">
        <f>VLOOKUP($B36,'County Data'!$B$9:$P$46,14,FALSE)</f>
        <v>0</v>
      </c>
      <c r="O36" s="45">
        <f>IF(N36="Y",$C$3*Input!$C$28/36*O$4,0)</f>
        <v>0</v>
      </c>
      <c r="P36" s="15">
        <f t="shared" si="6"/>
        <v>0</v>
      </c>
      <c r="Q36" s="72">
        <f t="shared" si="7"/>
        <v>0</v>
      </c>
      <c r="R36" s="73">
        <f t="shared" si="8"/>
        <v>0</v>
      </c>
      <c r="S36" s="26">
        <f>VLOOKUP($B36,'County Data'!$B$9:$P$46,15,FALSE)</f>
        <v>0</v>
      </c>
      <c r="T36" s="45">
        <f>IF(S36="Y",$C$3*Input!$C$28/36*T$4,0)</f>
        <v>0</v>
      </c>
      <c r="U36" s="15">
        <f t="shared" si="9"/>
        <v>0</v>
      </c>
      <c r="V36" s="72">
        <f t="shared" si="10"/>
        <v>0</v>
      </c>
      <c r="W36" s="73">
        <f t="shared" si="11"/>
        <v>0</v>
      </c>
      <c r="X36" s="74">
        <f t="shared" si="12"/>
        <v>0</v>
      </c>
      <c r="Y36" s="44" t="e">
        <f t="shared" si="13"/>
        <v>#DIV/0!</v>
      </c>
    </row>
    <row r="37" spans="2:25" x14ac:dyDescent="0.25">
      <c r="B37" s="20" t="str">
        <f>+'County Data'!$B$29</f>
        <v>Lane</v>
      </c>
      <c r="C37" s="15">
        <f>VLOOKUP($B37,'County Data'!$B$10:$P$46,2,FALSE)</f>
        <v>0</v>
      </c>
      <c r="D37" s="26" t="str">
        <f>VLOOKUP($B37,'County Data'!$B$9:$P$46,12,FALSE)</f>
        <v>Y</v>
      </c>
      <c r="E37" s="72">
        <f>IF(D37="Y",$C$3*Input!$C$28/36*E$4,0)</f>
        <v>0</v>
      </c>
      <c r="F37" s="15">
        <f t="shared" si="0"/>
        <v>0</v>
      </c>
      <c r="G37" s="72">
        <f t="shared" si="1"/>
        <v>0</v>
      </c>
      <c r="H37" s="73">
        <f t="shared" si="2"/>
        <v>0</v>
      </c>
      <c r="I37" s="26">
        <f>VLOOKUP($B37,'County Data'!$B$9:$P$46,13,FALSE)</f>
        <v>0</v>
      </c>
      <c r="J37" s="45">
        <f>IF(I37="Y",$C$3*Input!$C$28/36*J$4,0)</f>
        <v>0</v>
      </c>
      <c r="K37" s="15">
        <f t="shared" si="3"/>
        <v>0</v>
      </c>
      <c r="L37" s="72">
        <f t="shared" si="4"/>
        <v>0</v>
      </c>
      <c r="M37" s="73">
        <f t="shared" si="5"/>
        <v>0</v>
      </c>
      <c r="N37" s="26">
        <f>VLOOKUP($B37,'County Data'!$B$9:$P$46,14,FALSE)</f>
        <v>0</v>
      </c>
      <c r="O37" s="45">
        <f>IF(N37="Y",$C$3*Input!$C$28/36*O$4,0)</f>
        <v>0</v>
      </c>
      <c r="P37" s="15">
        <f t="shared" si="6"/>
        <v>0</v>
      </c>
      <c r="Q37" s="72">
        <f t="shared" si="7"/>
        <v>0</v>
      </c>
      <c r="R37" s="73">
        <f t="shared" si="8"/>
        <v>0</v>
      </c>
      <c r="S37" s="26">
        <f>VLOOKUP($B37,'County Data'!$B$9:$P$46,15,FALSE)</f>
        <v>0</v>
      </c>
      <c r="T37" s="45">
        <f>IF(S37="Y",$C$3*Input!$C$28/36*T$4,0)</f>
        <v>0</v>
      </c>
      <c r="U37" s="15">
        <f t="shared" si="9"/>
        <v>0</v>
      </c>
      <c r="V37" s="72">
        <f t="shared" si="10"/>
        <v>0</v>
      </c>
      <c r="W37" s="73">
        <f t="shared" si="11"/>
        <v>0</v>
      </c>
      <c r="X37" s="74">
        <f t="shared" si="12"/>
        <v>0</v>
      </c>
      <c r="Y37" s="44" t="e">
        <f t="shared" si="13"/>
        <v>#DIV/0!</v>
      </c>
    </row>
    <row r="38" spans="2:25" x14ac:dyDescent="0.25">
      <c r="B38" s="20" t="str">
        <f>+'County Data'!$B$12</f>
        <v>Clackamas</v>
      </c>
      <c r="C38" s="15">
        <f>VLOOKUP($B38,'County Data'!$B$10:$P$46,2,FALSE)</f>
        <v>0</v>
      </c>
      <c r="D38" s="26" t="str">
        <f>VLOOKUP($B38,'County Data'!$B$9:$P$46,12,FALSE)</f>
        <v>Y</v>
      </c>
      <c r="E38" s="72">
        <f>IF(D38="Y",$C$3*Input!$C$28/36*E$4,0)</f>
        <v>0</v>
      </c>
      <c r="F38" s="15">
        <f t="shared" si="0"/>
        <v>0</v>
      </c>
      <c r="G38" s="72">
        <f t="shared" si="1"/>
        <v>0</v>
      </c>
      <c r="H38" s="73">
        <f t="shared" si="2"/>
        <v>0</v>
      </c>
      <c r="I38" s="26">
        <f>VLOOKUP($B38,'County Data'!$B$9:$P$46,13,FALSE)</f>
        <v>0</v>
      </c>
      <c r="J38" s="45">
        <f>IF(I38="Y",$C$3*Input!$C$28/36*J$4,0)</f>
        <v>0</v>
      </c>
      <c r="K38" s="15">
        <f t="shared" si="3"/>
        <v>0</v>
      </c>
      <c r="L38" s="72">
        <f t="shared" si="4"/>
        <v>0</v>
      </c>
      <c r="M38" s="73">
        <f t="shared" si="5"/>
        <v>0</v>
      </c>
      <c r="N38" s="26">
        <f>VLOOKUP($B38,'County Data'!$B$9:$P$46,14,FALSE)</f>
        <v>0</v>
      </c>
      <c r="O38" s="45">
        <f>IF(N38="Y",$C$3*Input!$C$28/36*O$4,0)</f>
        <v>0</v>
      </c>
      <c r="P38" s="15">
        <f t="shared" si="6"/>
        <v>0</v>
      </c>
      <c r="Q38" s="72">
        <f t="shared" si="7"/>
        <v>0</v>
      </c>
      <c r="R38" s="73">
        <f t="shared" si="8"/>
        <v>0</v>
      </c>
      <c r="S38" s="26">
        <f>VLOOKUP($B38,'County Data'!$B$9:$P$46,15,FALSE)</f>
        <v>0</v>
      </c>
      <c r="T38" s="45">
        <f>IF(S38="Y",$C$3*Input!$C$28/36*T$4,0)</f>
        <v>0</v>
      </c>
      <c r="U38" s="15">
        <f t="shared" si="9"/>
        <v>0</v>
      </c>
      <c r="V38" s="72">
        <f t="shared" si="10"/>
        <v>0</v>
      </c>
      <c r="W38" s="73">
        <f t="shared" si="11"/>
        <v>0</v>
      </c>
      <c r="X38" s="74">
        <f t="shared" si="12"/>
        <v>0</v>
      </c>
      <c r="Y38" s="44" t="e">
        <f t="shared" si="13"/>
        <v>#DIV/0!</v>
      </c>
    </row>
    <row r="39" spans="2:25" x14ac:dyDescent="0.25">
      <c r="B39" s="20" t="str">
        <f>+'County Data'!$B$44</f>
        <v>Washington</v>
      </c>
      <c r="C39" s="15">
        <f>VLOOKUP($B39,'County Data'!$B$10:$P$46,2,FALSE)</f>
        <v>0</v>
      </c>
      <c r="D39" s="26" t="str">
        <f>VLOOKUP($B39,'County Data'!$B$9:$P$46,12,FALSE)</f>
        <v>Y</v>
      </c>
      <c r="E39" s="72">
        <f>IF(D39="Y",$C$3*Input!$C$28/36*E$4,0)</f>
        <v>0</v>
      </c>
      <c r="F39" s="15">
        <f t="shared" si="0"/>
        <v>0</v>
      </c>
      <c r="G39" s="72">
        <f t="shared" si="1"/>
        <v>0</v>
      </c>
      <c r="H39" s="73">
        <f t="shared" si="2"/>
        <v>0</v>
      </c>
      <c r="I39" s="26">
        <f>VLOOKUP($B39,'County Data'!$B$9:$P$46,13,FALSE)</f>
        <v>0</v>
      </c>
      <c r="J39" s="45">
        <f>IF(I39="Y",$C$3*Input!$C$28/36*J$4,0)</f>
        <v>0</v>
      </c>
      <c r="K39" s="15">
        <f t="shared" si="3"/>
        <v>0</v>
      </c>
      <c r="L39" s="72">
        <f t="shared" si="4"/>
        <v>0</v>
      </c>
      <c r="M39" s="73">
        <f t="shared" si="5"/>
        <v>0</v>
      </c>
      <c r="N39" s="26">
        <f>VLOOKUP($B39,'County Data'!$B$9:$P$46,14,FALSE)</f>
        <v>0</v>
      </c>
      <c r="O39" s="45">
        <f>IF(N39="Y",$C$3*Input!$C$28/36*O$4,0)</f>
        <v>0</v>
      </c>
      <c r="P39" s="15">
        <f t="shared" si="6"/>
        <v>0</v>
      </c>
      <c r="Q39" s="72">
        <f t="shared" si="7"/>
        <v>0</v>
      </c>
      <c r="R39" s="73">
        <f t="shared" si="8"/>
        <v>0</v>
      </c>
      <c r="S39" s="26">
        <f>VLOOKUP($B39,'County Data'!$B$9:$P$46,15,FALSE)</f>
        <v>0</v>
      </c>
      <c r="T39" s="45">
        <f>IF(S39="Y",$C$3*Input!$C$28/36*T$4,0)</f>
        <v>0</v>
      </c>
      <c r="U39" s="15">
        <f t="shared" si="9"/>
        <v>0</v>
      </c>
      <c r="V39" s="72">
        <f t="shared" si="10"/>
        <v>0</v>
      </c>
      <c r="W39" s="73">
        <f t="shared" si="11"/>
        <v>0</v>
      </c>
      <c r="X39" s="74">
        <f t="shared" si="12"/>
        <v>0</v>
      </c>
      <c r="Y39" s="44" t="e">
        <f t="shared" si="13"/>
        <v>#DIV/0!</v>
      </c>
    </row>
    <row r="40" spans="2:25" x14ac:dyDescent="0.25">
      <c r="B40" s="20" t="str">
        <f>+'County Data'!$B$35</f>
        <v>Multnomah</v>
      </c>
      <c r="C40" s="15">
        <f>VLOOKUP($B40,'County Data'!$B$10:$P$46,2,FALSE)</f>
        <v>0</v>
      </c>
      <c r="D40" s="26" t="str">
        <f>VLOOKUP($B40,'County Data'!$B$9:$P$46,12,FALSE)</f>
        <v>Y</v>
      </c>
      <c r="E40" s="72">
        <f>IF(D40="Y",$C$3*Input!$C$28/36*E$4,0)</f>
        <v>0</v>
      </c>
      <c r="F40" s="15">
        <f t="shared" si="0"/>
        <v>0</v>
      </c>
      <c r="G40" s="72">
        <f t="shared" si="1"/>
        <v>0</v>
      </c>
      <c r="H40" s="73">
        <f t="shared" si="2"/>
        <v>0</v>
      </c>
      <c r="I40" s="26">
        <f>VLOOKUP($B40,'County Data'!$B$9:$P$46,13,FALSE)</f>
        <v>0</v>
      </c>
      <c r="J40" s="45">
        <f>IF(I40="Y",$C$3*Input!$C$28/36*J$4,0)</f>
        <v>0</v>
      </c>
      <c r="K40" s="15">
        <f t="shared" si="3"/>
        <v>0</v>
      </c>
      <c r="L40" s="72">
        <f t="shared" si="4"/>
        <v>0</v>
      </c>
      <c r="M40" s="73">
        <f t="shared" si="5"/>
        <v>0</v>
      </c>
      <c r="N40" s="26">
        <f>VLOOKUP($B40,'County Data'!$B$9:$P$46,14,FALSE)</f>
        <v>0</v>
      </c>
      <c r="O40" s="45">
        <f>IF(N40="Y",$C$3*Input!$C$28/36*O$4,0)</f>
        <v>0</v>
      </c>
      <c r="P40" s="15">
        <f t="shared" si="6"/>
        <v>0</v>
      </c>
      <c r="Q40" s="72">
        <f t="shared" si="7"/>
        <v>0</v>
      </c>
      <c r="R40" s="73">
        <f t="shared" si="8"/>
        <v>0</v>
      </c>
      <c r="S40" s="26">
        <f>VLOOKUP($B40,'County Data'!$B$9:$P$46,15,FALSE)</f>
        <v>0</v>
      </c>
      <c r="T40" s="45">
        <f>IF(S40="Y",$C$3*Input!$C$28/36*T$4,0)</f>
        <v>0</v>
      </c>
      <c r="U40" s="15">
        <f t="shared" si="9"/>
        <v>0</v>
      </c>
      <c r="V40" s="72">
        <f t="shared" si="10"/>
        <v>0</v>
      </c>
      <c r="W40" s="73">
        <f t="shared" si="11"/>
        <v>0</v>
      </c>
      <c r="X40" s="74">
        <f t="shared" si="12"/>
        <v>0</v>
      </c>
      <c r="Y40" s="44" t="e">
        <f t="shared" si="13"/>
        <v>#DIV/0!</v>
      </c>
    </row>
    <row r="41" spans="2:25" x14ac:dyDescent="0.25">
      <c r="B41" s="4" t="s">
        <v>2</v>
      </c>
      <c r="C41" s="5">
        <f t="shared" ref="C41:H41" si="14">SUM(C7:C40)</f>
        <v>940705</v>
      </c>
      <c r="D41" s="5">
        <f>COUNTIF(D7:D40,"Y")</f>
        <v>34</v>
      </c>
      <c r="E41" s="71">
        <f t="shared" si="14"/>
        <v>0</v>
      </c>
      <c r="F41" s="5">
        <f t="shared" si="14"/>
        <v>940705</v>
      </c>
      <c r="G41" s="71">
        <f t="shared" si="14"/>
        <v>0</v>
      </c>
      <c r="H41" s="71">
        <f t="shared" si="14"/>
        <v>0</v>
      </c>
      <c r="I41" s="5">
        <f>COUNTIF(I7:I40,"Y")</f>
        <v>0</v>
      </c>
      <c r="J41" s="71">
        <f t="shared" ref="J41:M41" si="15">SUM(J7:J40)</f>
        <v>0</v>
      </c>
      <c r="K41" s="67">
        <f>SUM(K7:K40)+0.001</f>
        <v>1E-3</v>
      </c>
      <c r="L41" s="71">
        <f t="shared" si="15"/>
        <v>0</v>
      </c>
      <c r="M41" s="71">
        <f t="shared" si="15"/>
        <v>0</v>
      </c>
      <c r="N41" s="5">
        <f>COUNTIF(N7:N40,"Y")</f>
        <v>0</v>
      </c>
      <c r="O41" s="71">
        <f t="shared" ref="O41" si="16">SUM(O7:O40)</f>
        <v>0</v>
      </c>
      <c r="P41" s="67">
        <f>SUM(P7:P40)+0.001</f>
        <v>1E-3</v>
      </c>
      <c r="Q41" s="71">
        <f t="shared" ref="Q41:R41" si="17">SUM(Q7:Q40)</f>
        <v>0</v>
      </c>
      <c r="R41" s="71">
        <f t="shared" si="17"/>
        <v>0</v>
      </c>
      <c r="S41" s="5">
        <f>COUNTIF(S7:S40,"Y")</f>
        <v>0</v>
      </c>
      <c r="T41" s="71">
        <f t="shared" ref="T41" si="18">SUM(T7:T40)</f>
        <v>0</v>
      </c>
      <c r="U41" s="67">
        <f>SUM(U7:U40)+0.001</f>
        <v>1E-3</v>
      </c>
      <c r="V41" s="71">
        <f t="shared" ref="V41:X41" si="19">SUM(V7:V40)</f>
        <v>0</v>
      </c>
      <c r="W41" s="71">
        <f t="shared" si="19"/>
        <v>0</v>
      </c>
      <c r="X41" s="71">
        <f t="shared" si="19"/>
        <v>0</v>
      </c>
      <c r="Y41" s="70">
        <f t="shared" si="13"/>
        <v>0</v>
      </c>
    </row>
    <row r="42" spans="2:25" x14ac:dyDescent="0.25">
      <c r="E42" s="38"/>
    </row>
  </sheetData>
  <sortState xmlns:xlrd2="http://schemas.microsoft.com/office/spreadsheetml/2017/richdata2" ref="B7:H40">
    <sortCondition ref="C7:C40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1"/>
  <sheetViews>
    <sheetView showGridLines="0" tabSelected="1" topLeftCell="A8" zoomScale="75" zoomScaleNormal="75" workbookViewId="0">
      <selection activeCell="A22" sqref="A22:XFD22"/>
    </sheetView>
  </sheetViews>
  <sheetFormatPr defaultRowHeight="15" x14ac:dyDescent="0.25"/>
  <cols>
    <col min="1" max="1" width="3" bestFit="1" customWidth="1"/>
    <col min="2" max="2" width="22" customWidth="1"/>
    <col min="3" max="6" width="14.28515625" customWidth="1"/>
    <col min="7" max="7" width="16.5703125" bestFit="1" customWidth="1"/>
    <col min="8" max="10" width="14.28515625" customWidth="1"/>
    <col min="11" max="11" width="16.42578125" bestFit="1" customWidth="1"/>
    <col min="12" max="13" width="14.28515625" customWidth="1"/>
    <col min="14" max="14" width="13.42578125" bestFit="1" customWidth="1"/>
    <col min="15" max="15" width="11.5703125" bestFit="1" customWidth="1"/>
    <col min="16" max="16" width="11" customWidth="1"/>
    <col min="17" max="17" width="10.140625" bestFit="1" customWidth="1"/>
    <col min="18" max="18" width="11.85546875" customWidth="1"/>
    <col min="19" max="19" width="5.85546875" customWidth="1"/>
    <col min="20" max="20" width="9.140625" customWidth="1"/>
  </cols>
  <sheetData>
    <row r="1" spans="2:27" ht="18.75" x14ac:dyDescent="0.3">
      <c r="B1" s="24" t="s">
        <v>130</v>
      </c>
      <c r="C1" s="24"/>
    </row>
    <row r="2" spans="2:27" ht="18.75" x14ac:dyDescent="0.25">
      <c r="B2" s="199" t="s">
        <v>146</v>
      </c>
      <c r="C2" s="23"/>
    </row>
    <row r="3" spans="2:27" ht="15.75" x14ac:dyDescent="0.25">
      <c r="C3" s="23"/>
    </row>
    <row r="4" spans="2:27" ht="23.25" x14ac:dyDescent="0.25">
      <c r="B4" s="202" t="s">
        <v>150</v>
      </c>
      <c r="C4" s="23"/>
      <c r="G4" s="212" t="s">
        <v>155</v>
      </c>
    </row>
    <row r="5" spans="2:27" ht="18.75" x14ac:dyDescent="0.3">
      <c r="B5" s="200" t="s">
        <v>151</v>
      </c>
      <c r="C5" s="182"/>
      <c r="D5" s="179"/>
      <c r="E5" s="179"/>
      <c r="F5" s="179"/>
      <c r="G5" s="201">
        <v>2000000</v>
      </c>
      <c r="H5" s="204"/>
      <c r="I5" s="179"/>
      <c r="J5" s="179"/>
      <c r="K5" s="179"/>
      <c r="L5" s="179"/>
      <c r="M5" s="179"/>
      <c r="N5" s="179"/>
      <c r="O5" s="179"/>
      <c r="P5" s="179"/>
    </row>
    <row r="6" spans="2:27" ht="16.5" thickBot="1" x14ac:dyDescent="0.3">
      <c r="B6" s="23"/>
      <c r="C6" s="23"/>
    </row>
    <row r="7" spans="2:27" ht="34.5" customHeight="1" thickTop="1" x14ac:dyDescent="0.25">
      <c r="B7" s="89"/>
      <c r="C7" s="90"/>
      <c r="D7" s="214" t="s">
        <v>114</v>
      </c>
      <c r="E7" s="215"/>
      <c r="F7" s="215"/>
      <c r="G7" s="215"/>
      <c r="H7" s="215"/>
      <c r="I7" s="215"/>
      <c r="J7" s="215"/>
      <c r="K7" s="216"/>
      <c r="L7" s="217" t="s">
        <v>115</v>
      </c>
      <c r="M7" s="218"/>
      <c r="N7" s="214" t="s">
        <v>116</v>
      </c>
      <c r="O7" s="215"/>
      <c r="P7" s="215"/>
      <c r="Q7" s="216"/>
      <c r="R7" s="91"/>
    </row>
    <row r="8" spans="2:27" s="2" customFormat="1" ht="32.25" x14ac:dyDescent="0.25">
      <c r="B8" s="92" t="s">
        <v>7</v>
      </c>
      <c r="C8" s="93" t="s">
        <v>125</v>
      </c>
      <c r="D8" s="128" t="s">
        <v>20</v>
      </c>
      <c r="E8" s="93" t="s">
        <v>16</v>
      </c>
      <c r="F8" s="93" t="s">
        <v>17</v>
      </c>
      <c r="G8" s="93" t="s">
        <v>126</v>
      </c>
      <c r="H8" s="93" t="s">
        <v>127</v>
      </c>
      <c r="I8" s="93" t="s">
        <v>119</v>
      </c>
      <c r="J8" s="93" t="s">
        <v>128</v>
      </c>
      <c r="K8" s="129" t="s">
        <v>129</v>
      </c>
      <c r="L8" s="165" t="s">
        <v>117</v>
      </c>
      <c r="M8" s="166" t="s">
        <v>118</v>
      </c>
      <c r="N8" s="142" t="s">
        <v>39</v>
      </c>
      <c r="O8" s="94" t="s">
        <v>5</v>
      </c>
      <c r="P8" s="94" t="s">
        <v>15</v>
      </c>
      <c r="Q8" s="143" t="s">
        <v>12</v>
      </c>
      <c r="R8" s="95" t="s">
        <v>37</v>
      </c>
    </row>
    <row r="9" spans="2:27" x14ac:dyDescent="0.25">
      <c r="B9" s="96" t="s">
        <v>80</v>
      </c>
      <c r="C9" s="97">
        <f>VLOOKUP($B9,'County Data'!$B$10:$C$46,2,FALSE)</f>
        <v>1440</v>
      </c>
      <c r="D9" s="130">
        <f>VLOOKUP($B9,Floor!$B$6:$M$45,4,FALSE)</f>
        <v>10695.652173913044</v>
      </c>
      <c r="E9" s="98">
        <f>VLOOKUP($B9,Burden!$B$6:$H$40,6,FALSE)</f>
        <v>334.41522483960284</v>
      </c>
      <c r="F9" s="98">
        <f>VLOOKUP($B9,'Health Status'!$B$6:$H$40,6,FALSE)</f>
        <v>723.26889248811881</v>
      </c>
      <c r="G9" s="98">
        <f>VLOOKUP($B9,Ethnicity!$B$6:$H$40,6,FALSE)</f>
        <v>239.82605742843722</v>
      </c>
      <c r="H9" s="98">
        <f>VLOOKUP($B9,Poverty!$B$6:$H$40,6,FALSE)</f>
        <v>257.06758264115075</v>
      </c>
      <c r="I9" s="98">
        <f>VLOOKUP($B9,Rurality!$B$6:$H$40,6,FALSE)</f>
        <v>1067.3606874321999</v>
      </c>
      <c r="J9" s="98">
        <f>VLOOKUP($B9,Education!$B$6:$H$40,6,FALSE)</f>
        <v>136.16808843681477</v>
      </c>
      <c r="K9" s="131">
        <f>VLOOKUP($B9,Language!$B$6:$H$40,6,FALSE)</f>
        <v>7.2773006332500918</v>
      </c>
      <c r="L9" s="167">
        <f>VLOOKUP($B9,Matching!$B$7:$L$40,10,FALSE)</f>
        <v>0</v>
      </c>
      <c r="M9" s="168">
        <f>VLOOKUP($B9,Incentives!$B$7:$Y$40,23,FALSE)</f>
        <v>0</v>
      </c>
      <c r="N9" s="144">
        <f t="shared" ref="N9:N42" si="0">SUM(D9:M9)</f>
        <v>13461.036007812618</v>
      </c>
      <c r="O9" s="99">
        <f t="shared" ref="O9:O42" si="1">N9/$N$43</f>
        <v>6.7305180039063089E-3</v>
      </c>
      <c r="P9" s="99">
        <f t="shared" ref="P9:P42" si="2">C9/$C$43</f>
        <v>1.530766818503144E-3</v>
      </c>
      <c r="Q9" s="145">
        <f t="shared" ref="Q9:Q43" si="3">N9/C9</f>
        <v>9.3479416720920963</v>
      </c>
      <c r="R9" s="100"/>
      <c r="T9" s="22"/>
      <c r="U9" s="22"/>
    </row>
    <row r="10" spans="2:27" hidden="1" x14ac:dyDescent="0.25">
      <c r="B10" s="96" t="s">
        <v>78</v>
      </c>
      <c r="C10" s="97">
        <f>VLOOKUP($B10,'County Data'!$B$10:$C$46,2,FALSE)</f>
        <v>0</v>
      </c>
      <c r="D10" s="130">
        <v>0</v>
      </c>
      <c r="E10" s="98">
        <f>VLOOKUP($B10,Burden!$B$6:$H$40,6,FALSE)</f>
        <v>0</v>
      </c>
      <c r="F10" s="98">
        <f>VLOOKUP($B10,'Health Status'!$B$6:$H$40,6,FALSE)</f>
        <v>0</v>
      </c>
      <c r="G10" s="98">
        <f>VLOOKUP($B10,Ethnicity!$B$6:$H$40,6,FALSE)</f>
        <v>0</v>
      </c>
      <c r="H10" s="98">
        <f>VLOOKUP($B10,Poverty!$B$6:$H$40,6,FALSE)</f>
        <v>0</v>
      </c>
      <c r="I10" s="98">
        <f>VLOOKUP($B10,Rurality!$B$6:$H$40,6,FALSE)</f>
        <v>0</v>
      </c>
      <c r="J10" s="98">
        <f>VLOOKUP($B10,Education!$B$6:$H$40,6,FALSE)</f>
        <v>0</v>
      </c>
      <c r="K10" s="131">
        <f>VLOOKUP($B10,Language!$B$6:$H$40,6,FALSE)</f>
        <v>0</v>
      </c>
      <c r="L10" s="167">
        <f>VLOOKUP($B10,Matching!$B$7:$L$40,10,FALSE)</f>
        <v>0</v>
      </c>
      <c r="M10" s="168">
        <f>VLOOKUP($B10,Incentives!$B$7:$Y$40,23,FALSE)</f>
        <v>0</v>
      </c>
      <c r="N10" s="144">
        <f t="shared" si="0"/>
        <v>0</v>
      </c>
      <c r="O10" s="99">
        <f t="shared" si="1"/>
        <v>0</v>
      </c>
      <c r="P10" s="99">
        <f t="shared" si="2"/>
        <v>0</v>
      </c>
      <c r="Q10" s="145" t="e">
        <f t="shared" si="3"/>
        <v>#DIV/0!</v>
      </c>
      <c r="R10" s="100"/>
      <c r="S10" s="203" t="s">
        <v>147</v>
      </c>
      <c r="T10" s="22"/>
      <c r="U10" s="22"/>
    </row>
    <row r="11" spans="2:27" x14ac:dyDescent="0.25">
      <c r="B11" s="96" t="s">
        <v>60</v>
      </c>
      <c r="C11" s="97">
        <f>VLOOKUP($B11,'County Data'!$B$10:$C$46,2,FALSE)</f>
        <v>7280</v>
      </c>
      <c r="D11" s="130">
        <f>VLOOKUP($B11,Floor!$B$6:$M$45,4,FALSE)</f>
        <v>10695.652173913044</v>
      </c>
      <c r="E11" s="98">
        <f>VLOOKUP($B11,Burden!$B$6:$H$40,6,FALSE)</f>
        <v>2480.1403427492069</v>
      </c>
      <c r="F11" s="98">
        <f>VLOOKUP($B11,'Health Status'!$B$6:$H$40,6,FALSE)</f>
        <v>1335.6173061216061</v>
      </c>
      <c r="G11" s="98">
        <f>VLOOKUP($B11,Ethnicity!$B$6:$H$40,6,FALSE)</f>
        <v>1785.8679128852418</v>
      </c>
      <c r="H11" s="98">
        <f>VLOOKUP($B11,Poverty!$B$6:$H$40,6,FALSE)</f>
        <v>1060.084795020945</v>
      </c>
      <c r="I11" s="98">
        <f>VLOOKUP($B11,Rurality!$B$6:$H$40,6,FALSE)</f>
        <v>2390.4728551363487</v>
      </c>
      <c r="J11" s="98">
        <f>VLOOKUP($B11,Education!$B$6:$H$40,6,FALSE)</f>
        <v>887.82808848967363</v>
      </c>
      <c r="K11" s="131">
        <f>VLOOKUP($B11,Language!$B$6:$H$40,6,FALSE)</f>
        <v>757.88184555459213</v>
      </c>
      <c r="L11" s="167">
        <f>VLOOKUP($B11,Matching!$B$7:$L$40,10,FALSE)</f>
        <v>0</v>
      </c>
      <c r="M11" s="168">
        <f>VLOOKUP($B11,Incentives!$B$7:$Y$40,23,FALSE)</f>
        <v>0</v>
      </c>
      <c r="N11" s="144">
        <f t="shared" si="0"/>
        <v>21393.54531987066</v>
      </c>
      <c r="O11" s="99">
        <f t="shared" si="1"/>
        <v>1.0696772659935331E-2</v>
      </c>
      <c r="P11" s="99">
        <f t="shared" si="2"/>
        <v>7.7388766935436717E-3</v>
      </c>
      <c r="Q11" s="145">
        <f t="shared" si="3"/>
        <v>2.9386738076745411</v>
      </c>
      <c r="R11" s="100"/>
      <c r="S11" s="203"/>
      <c r="T11" s="22"/>
      <c r="U11" s="22"/>
    </row>
    <row r="12" spans="2:27" x14ac:dyDescent="0.25">
      <c r="B12" s="96" t="s">
        <v>59</v>
      </c>
      <c r="C12" s="97">
        <f>VLOOKUP($B12,'County Data'!$B$10:$C$46,2,FALSE)</f>
        <v>7315</v>
      </c>
      <c r="D12" s="130">
        <f>VLOOKUP($B12,Floor!$B$6:$M$45,4,FALSE)</f>
        <v>10695.652173913044</v>
      </c>
      <c r="E12" s="98">
        <f>VLOOKUP($B12,Burden!$B$6:$H$40,6,FALSE)</f>
        <v>2063.6899267355993</v>
      </c>
      <c r="F12" s="98">
        <f>VLOOKUP($B12,'Health Status'!$B$6:$H$40,6,FALSE)</f>
        <v>1705.0489687818974</v>
      </c>
      <c r="G12" s="98">
        <f>VLOOKUP($B12,Ethnicity!$B$6:$H$40,6,FALSE)</f>
        <v>1049.8869952340508</v>
      </c>
      <c r="H12" s="98">
        <f>VLOOKUP($B12,Poverty!$B$6:$H$40,6,FALSE)</f>
        <v>1063.6007016061201</v>
      </c>
      <c r="I12" s="98">
        <f>VLOOKUP($B12,Rurality!$B$6:$H$40,6,FALSE)</f>
        <v>5422.0440476156546</v>
      </c>
      <c r="J12" s="98">
        <f>VLOOKUP($B12,Education!$B$6:$H$40,6,FALSE)</f>
        <v>980.22942199259376</v>
      </c>
      <c r="K12" s="131">
        <f>VLOOKUP($B12,Language!$B$6:$H$40,6,FALSE)</f>
        <v>314.86150822850959</v>
      </c>
      <c r="L12" s="167">
        <f>VLOOKUP($B12,Matching!$B$7:$L$40,10,FALSE)</f>
        <v>0</v>
      </c>
      <c r="M12" s="168">
        <f>VLOOKUP($B12,Incentives!$B$7:$Y$40,23,FALSE)</f>
        <v>0</v>
      </c>
      <c r="N12" s="144">
        <f t="shared" si="0"/>
        <v>23295.013744107469</v>
      </c>
      <c r="O12" s="99">
        <f t="shared" si="1"/>
        <v>1.1647506872053735E-2</v>
      </c>
      <c r="P12" s="99">
        <f t="shared" si="2"/>
        <v>7.7760828314934012E-3</v>
      </c>
      <c r="Q12" s="145">
        <f t="shared" si="3"/>
        <v>3.184554168709155</v>
      </c>
      <c r="R12" s="100"/>
      <c r="S12" s="203"/>
      <c r="T12" s="22"/>
      <c r="U12" s="22"/>
    </row>
    <row r="13" spans="2:27" x14ac:dyDescent="0.25">
      <c r="B13" s="96" t="s">
        <v>66</v>
      </c>
      <c r="C13" s="97">
        <f>VLOOKUP($B13,'County Data'!$B$10:$C$46,2,FALSE)</f>
        <v>8075</v>
      </c>
      <c r="D13" s="130">
        <f>VLOOKUP($B13,Floor!$B$6:$M$45,4,FALSE)</f>
        <v>10695.652173913044</v>
      </c>
      <c r="E13" s="98">
        <f>VLOOKUP($B13,Burden!$B$6:$H$40,6,FALSE)</f>
        <v>2672.8083920250488</v>
      </c>
      <c r="F13" s="98">
        <f>VLOOKUP($B13,'Health Status'!$B$6:$H$40,6,FALSE)</f>
        <v>2173.6338550495661</v>
      </c>
      <c r="G13" s="98">
        <f>VLOOKUP($B13,Ethnicity!$B$6:$H$40,6,FALSE)</f>
        <v>1950.5997194124639</v>
      </c>
      <c r="H13" s="98">
        <f>VLOOKUP($B13,Poverty!$B$6:$H$40,6,FALSE)</f>
        <v>1391.1525258729735</v>
      </c>
      <c r="I13" s="98">
        <f>VLOOKUP($B13,Rurality!$B$6:$H$40,6,FALSE)</f>
        <v>3788.7412984670173</v>
      </c>
      <c r="J13" s="98">
        <f>VLOOKUP($B13,Education!$B$6:$H$40,6,FALSE)</f>
        <v>1262.8935488208642</v>
      </c>
      <c r="K13" s="131">
        <f>VLOOKUP($B13,Language!$B$6:$H$40,6,FALSE)</f>
        <v>991.46915923400866</v>
      </c>
      <c r="L13" s="167">
        <f>VLOOKUP($B13,Matching!$B$7:$L$40,10,FALSE)</f>
        <v>0</v>
      </c>
      <c r="M13" s="168">
        <f>VLOOKUP($B13,Incentives!$B$7:$Y$40,23,FALSE)</f>
        <v>0</v>
      </c>
      <c r="N13" s="144">
        <f t="shared" si="0"/>
        <v>24926.950672794988</v>
      </c>
      <c r="O13" s="99">
        <f t="shared" si="1"/>
        <v>1.2463475336397495E-2</v>
      </c>
      <c r="P13" s="99">
        <f t="shared" si="2"/>
        <v>8.5839875412589486E-3</v>
      </c>
      <c r="Q13" s="145">
        <f t="shared" si="3"/>
        <v>3.0869288758879243</v>
      </c>
      <c r="R13" s="100"/>
      <c r="S13" s="203"/>
      <c r="T13" s="22"/>
      <c r="U13" s="22"/>
    </row>
    <row r="14" spans="2:27" x14ac:dyDescent="0.25">
      <c r="B14" s="96" t="s">
        <v>72</v>
      </c>
      <c r="C14" s="97">
        <f>VLOOKUP($B14,'County Data'!$B$10:$C$46,2,FALSE)</f>
        <v>12825</v>
      </c>
      <c r="D14" s="130">
        <f>VLOOKUP($B14,Floor!$B$6:$M$45,4,FALSE)</f>
        <v>10695.652173913044</v>
      </c>
      <c r="E14" s="98">
        <f>VLOOKUP($B14,Burden!$B$6:$H$40,6,FALSE)</f>
        <v>3037.3744518162675</v>
      </c>
      <c r="F14" s="98">
        <f>VLOOKUP($B14,'Health Status'!$B$6:$H$40,6,FALSE)</f>
        <v>6017.3156736567671</v>
      </c>
      <c r="G14" s="98">
        <f>VLOOKUP($B14,Ethnicity!$B$6:$H$40,6,FALSE)</f>
        <v>3947.2930471615364</v>
      </c>
      <c r="H14" s="98">
        <f>VLOOKUP($B14,Poverty!$B$6:$H$40,6,FALSE)</f>
        <v>1988.0943438142397</v>
      </c>
      <c r="I14" s="98">
        <f>VLOOKUP($B14,Rurality!$B$6:$H$40,6,FALSE)</f>
        <v>4363.337135201351</v>
      </c>
      <c r="J14" s="98">
        <f>VLOOKUP($B14,Education!$B$6:$H$40,6,FALSE)</f>
        <v>3778.8659009210583</v>
      </c>
      <c r="K14" s="131">
        <f>VLOOKUP($B14,Language!$B$6:$H$40,6,FALSE)</f>
        <v>13438.245309155112</v>
      </c>
      <c r="L14" s="167">
        <f>VLOOKUP($B14,Matching!$B$7:$L$40,10,FALSE)</f>
        <v>0</v>
      </c>
      <c r="M14" s="168">
        <f>VLOOKUP($B14,Incentives!$B$7:$Y$40,23,FALSE)</f>
        <v>0</v>
      </c>
      <c r="N14" s="144">
        <f t="shared" si="0"/>
        <v>47266.178035639379</v>
      </c>
      <c r="O14" s="99">
        <f t="shared" si="1"/>
        <v>2.363308901781969E-2</v>
      </c>
      <c r="P14" s="99">
        <f t="shared" si="2"/>
        <v>1.3633391977293626E-2</v>
      </c>
      <c r="Q14" s="145">
        <f t="shared" si="3"/>
        <v>3.685471971589815</v>
      </c>
      <c r="R14" s="100"/>
      <c r="S14" s="203"/>
      <c r="T14" s="22"/>
      <c r="U14" s="22"/>
    </row>
    <row r="15" spans="2:27" x14ac:dyDescent="0.25">
      <c r="B15" s="96" t="s">
        <v>49</v>
      </c>
      <c r="C15" s="97">
        <f>VLOOKUP($B15,'County Data'!$B$10:$C$46,2,FALSE)</f>
        <v>16910</v>
      </c>
      <c r="D15" s="130">
        <f>VLOOKUP($B15,Floor!$B$6:$M$45,4,FALSE)</f>
        <v>10695.652173913044</v>
      </c>
      <c r="E15" s="98">
        <f>VLOOKUP($B15,Burden!$B$6:$H$40,6,FALSE)</f>
        <v>5189.3311880008869</v>
      </c>
      <c r="F15" s="98">
        <f>VLOOKUP($B15,'Health Status'!$B$6:$H$40,6,FALSE)</f>
        <v>4806.1380316514942</v>
      </c>
      <c r="G15" s="98">
        <f>VLOOKUP($B15,Ethnicity!$B$6:$H$40,6,FALSE)</f>
        <v>3223.4638782751322</v>
      </c>
      <c r="H15" s="98">
        <f>VLOOKUP($B15,Poverty!$B$6:$H$40,6,FALSE)</f>
        <v>2379.9548892150183</v>
      </c>
      <c r="I15" s="98">
        <f>VLOOKUP($B15,Rurality!$B$6:$H$40,6,FALSE)</f>
        <v>5138.9710986362397</v>
      </c>
      <c r="J15" s="98">
        <f>VLOOKUP($B15,Education!$B$6:$H$40,6,FALSE)</f>
        <v>2096.5580403971117</v>
      </c>
      <c r="K15" s="131">
        <f>VLOOKUP($B15,Language!$B$6:$H$40,6,FALSE)</f>
        <v>1589.9576249400643</v>
      </c>
      <c r="L15" s="167">
        <f>VLOOKUP($B15,Matching!$B$7:$L$40,10,FALSE)</f>
        <v>0</v>
      </c>
      <c r="M15" s="168">
        <f>VLOOKUP($B15,Incentives!$B$7:$Y$40,23,FALSE)</f>
        <v>0</v>
      </c>
      <c r="N15" s="144">
        <f t="shared" si="0"/>
        <v>35120.026925028993</v>
      </c>
      <c r="O15" s="99">
        <f t="shared" si="1"/>
        <v>1.7560013462514495E-2</v>
      </c>
      <c r="P15" s="99">
        <f t="shared" si="2"/>
        <v>1.7975879792283447E-2</v>
      </c>
      <c r="Q15" s="145">
        <f t="shared" si="3"/>
        <v>2.0768791794813124</v>
      </c>
      <c r="R15" s="101">
        <f>SUM(N9:N15)/SUM(C9:C15)</f>
        <v>3.0729455047869649</v>
      </c>
      <c r="S15" s="203"/>
      <c r="T15" s="210"/>
      <c r="U15" s="210"/>
      <c r="V15" s="203"/>
      <c r="W15" s="203"/>
      <c r="X15" s="203"/>
      <c r="Y15" s="203"/>
      <c r="Z15" s="203"/>
      <c r="AA15" s="203"/>
    </row>
    <row r="16" spans="2:27" x14ac:dyDescent="0.25">
      <c r="B16" s="102" t="s">
        <v>55</v>
      </c>
      <c r="C16" s="103">
        <f>VLOOKUP($B16,'County Data'!$B$10:$C$46,2,FALSE)</f>
        <v>23440</v>
      </c>
      <c r="D16" s="132">
        <f>VLOOKUP($B16,Floor!$B$6:$M$45,4,FALSE)</f>
        <v>16043.478260869566</v>
      </c>
      <c r="E16" s="104">
        <f>VLOOKUP($B16,Burden!$B$6:$H$40,6,FALSE)</f>
        <v>6973.6415068225651</v>
      </c>
      <c r="F16" s="104">
        <f>VLOOKUP($B16,'Health Status'!$B$6:$H$40,6,FALSE)</f>
        <v>8107.3005097761697</v>
      </c>
      <c r="G16" s="104">
        <f>VLOOKUP($B16,Ethnicity!$B$6:$H$40,6,FALSE)</f>
        <v>4565.2916771287464</v>
      </c>
      <c r="H16" s="104">
        <f>VLOOKUP($B16,Poverty!$B$6:$H$40,6,FALSE)</f>
        <v>3327.5884614998913</v>
      </c>
      <c r="I16" s="104">
        <f>VLOOKUP($B16,Rurality!$B$6:$H$40,6,FALSE)</f>
        <v>8339.6448378035893</v>
      </c>
      <c r="J16" s="104">
        <f>VLOOKUP($B16,Education!$B$6:$H$40,6,FALSE)</f>
        <v>3479.5122618624282</v>
      </c>
      <c r="K16" s="133">
        <f>VLOOKUP($B16,Language!$B$6:$H$40,6,FALSE)</f>
        <v>2067.1458185702008</v>
      </c>
      <c r="L16" s="169">
        <f>VLOOKUP($B16,Matching!$B$7:$L$40,10,FALSE)</f>
        <v>0</v>
      </c>
      <c r="M16" s="170">
        <f>VLOOKUP($B16,Incentives!$B$7:$Y$40,23,FALSE)</f>
        <v>0</v>
      </c>
      <c r="N16" s="146">
        <f t="shared" si="0"/>
        <v>52903.603334333158</v>
      </c>
      <c r="O16" s="105">
        <f t="shared" si="1"/>
        <v>2.6451801667166579E-2</v>
      </c>
      <c r="P16" s="105">
        <f t="shared" si="2"/>
        <v>2.4917482101190064E-2</v>
      </c>
      <c r="Q16" s="147">
        <f t="shared" si="3"/>
        <v>2.2569796644340085</v>
      </c>
      <c r="R16" s="100"/>
      <c r="S16" s="203"/>
      <c r="T16" s="22"/>
      <c r="U16" s="22"/>
    </row>
    <row r="17" spans="1:21" hidden="1" x14ac:dyDescent="0.25">
      <c r="A17" s="40"/>
      <c r="B17" s="102" t="s">
        <v>56</v>
      </c>
      <c r="C17" s="103">
        <f>VLOOKUP($B17,'County Data'!$B$10:$C$46,2,FALSE)</f>
        <v>0</v>
      </c>
      <c r="D17" s="132">
        <v>0</v>
      </c>
      <c r="E17" s="104">
        <f>VLOOKUP($B17,Burden!$B$6:$H$40,6,FALSE)</f>
        <v>0</v>
      </c>
      <c r="F17" s="104">
        <f>VLOOKUP($B17,'Health Status'!$B$6:$H$40,6,FALSE)</f>
        <v>0</v>
      </c>
      <c r="G17" s="104">
        <f>VLOOKUP($B17,Ethnicity!$B$6:$H$40,6,FALSE)</f>
        <v>0</v>
      </c>
      <c r="H17" s="104">
        <f>VLOOKUP($B17,Poverty!$B$6:$H$40,6,FALSE)</f>
        <v>0</v>
      </c>
      <c r="I17" s="104">
        <f>VLOOKUP($B17,Rurality!$B$6:$H$40,6,FALSE)</f>
        <v>0</v>
      </c>
      <c r="J17" s="104">
        <f>VLOOKUP($B17,Education!$B$6:$H$40,6,FALSE)</f>
        <v>0</v>
      </c>
      <c r="K17" s="133">
        <f>VLOOKUP($B17,Language!$B$6:$H$40,6,FALSE)</f>
        <v>0</v>
      </c>
      <c r="L17" s="169">
        <f>VLOOKUP($B17,Matching!$B$7:$L$40,10,FALSE)</f>
        <v>0</v>
      </c>
      <c r="M17" s="170">
        <f>VLOOKUP($B17,Incentives!$B$7:$Y$40,23,FALSE)</f>
        <v>0</v>
      </c>
      <c r="N17" s="146">
        <f t="shared" si="0"/>
        <v>0</v>
      </c>
      <c r="O17" s="105">
        <f t="shared" si="1"/>
        <v>0</v>
      </c>
      <c r="P17" s="105">
        <f t="shared" si="2"/>
        <v>0</v>
      </c>
      <c r="Q17" s="147" t="e">
        <f t="shared" si="3"/>
        <v>#DIV/0!</v>
      </c>
      <c r="R17" s="100"/>
      <c r="S17" s="203" t="s">
        <v>147</v>
      </c>
      <c r="T17" s="22"/>
      <c r="U17" s="22"/>
    </row>
    <row r="18" spans="1:21" x14ac:dyDescent="0.25">
      <c r="A18" s="40"/>
      <c r="B18" s="102" t="s">
        <v>63</v>
      </c>
      <c r="C18" s="103">
        <f>VLOOKUP($B18,'County Data'!$B$10:$C$46,2,FALSE)</f>
        <v>24105</v>
      </c>
      <c r="D18" s="132">
        <f>VLOOKUP($B18,Floor!$B$6:$M$45,4,FALSE)</f>
        <v>16043.478260869566</v>
      </c>
      <c r="E18" s="104">
        <f>VLOOKUP($B18,Burden!$B$6:$H$40,6,FALSE)</f>
        <v>7369.0911642795718</v>
      </c>
      <c r="F18" s="104">
        <f>VLOOKUP($B18,'Health Status'!$B$6:$H$40,6,FALSE)</f>
        <v>4966.135107949468</v>
      </c>
      <c r="G18" s="104">
        <f>VLOOKUP($B18,Ethnicity!$B$6:$H$40,6,FALSE)</f>
        <v>18819.530778704018</v>
      </c>
      <c r="H18" s="104">
        <f>VLOOKUP($B18,Poverty!$B$6:$H$40,6,FALSE)</f>
        <v>3860.422040656641</v>
      </c>
      <c r="I18" s="104">
        <f>VLOOKUP($B18,Rurality!$B$6:$H$40,6,FALSE)</f>
        <v>11274.186272791012</v>
      </c>
      <c r="J18" s="104">
        <f>VLOOKUP($B18,Education!$B$6:$H$40,6,FALSE)</f>
        <v>4028.8411682501169</v>
      </c>
      <c r="K18" s="133">
        <f>VLOOKUP($B18,Language!$B$6:$H$40,6,FALSE)</f>
        <v>8184.1753042800583</v>
      </c>
      <c r="L18" s="169">
        <f>VLOOKUP($B18,Matching!$B$7:$L$40,10,FALSE)</f>
        <v>0</v>
      </c>
      <c r="M18" s="170">
        <f>VLOOKUP($B18,Incentives!$B$7:$Y$40,23,FALSE)</f>
        <v>0</v>
      </c>
      <c r="N18" s="146">
        <f t="shared" si="0"/>
        <v>74545.860097780445</v>
      </c>
      <c r="O18" s="105">
        <f t="shared" si="1"/>
        <v>3.7272930048890221E-2</v>
      </c>
      <c r="P18" s="105">
        <f t="shared" si="2"/>
        <v>2.5624398722234921E-2</v>
      </c>
      <c r="Q18" s="147">
        <f t="shared" si="3"/>
        <v>3.0925476082879255</v>
      </c>
      <c r="R18" s="100"/>
      <c r="S18" s="203"/>
      <c r="T18" s="22"/>
      <c r="U18" s="22"/>
    </row>
    <row r="19" spans="1:21" x14ac:dyDescent="0.25">
      <c r="B19" s="102" t="s">
        <v>61</v>
      </c>
      <c r="C19" s="103">
        <f>VLOOKUP($B19,'County Data'!$B$10:$C$46,2,FALSE)</f>
        <v>25640</v>
      </c>
      <c r="D19" s="132">
        <f>VLOOKUP($B19,Floor!$B$6:$M$45,4,FALSE)</f>
        <v>16043.478260869566</v>
      </c>
      <c r="E19" s="104">
        <f>VLOOKUP($B19,Burden!$B$6:$H$40,6,FALSE)</f>
        <v>4331.8184857934648</v>
      </c>
      <c r="F19" s="104">
        <f>VLOOKUP($B19,'Health Status'!$B$6:$H$40,6,FALSE)</f>
        <v>6323.4297283700098</v>
      </c>
      <c r="G19" s="104">
        <f>VLOOKUP($B19,Ethnicity!$B$6:$H$40,6,FALSE)</f>
        <v>9273.7639069716115</v>
      </c>
      <c r="H19" s="104">
        <f>VLOOKUP($B19,Poverty!$B$6:$H$40,6,FALSE)</f>
        <v>2802.0136192874656</v>
      </c>
      <c r="I19" s="104">
        <f>VLOOKUP($B19,Rurality!$B$6:$H$40,6,FALSE)</f>
        <v>9920.5839093385821</v>
      </c>
      <c r="J19" s="104">
        <f>VLOOKUP($B19,Education!$B$6:$H$40,6,FALSE)</f>
        <v>5797.1736049456385</v>
      </c>
      <c r="K19" s="133">
        <f>VLOOKUP($B19,Language!$B$6:$H$40,6,FALSE)</f>
        <v>27180.287332373104</v>
      </c>
      <c r="L19" s="169">
        <f>VLOOKUP($B19,Matching!$B$7:$L$40,10,FALSE)</f>
        <v>0</v>
      </c>
      <c r="M19" s="170">
        <f>VLOOKUP($B19,Incentives!$B$7:$Y$40,23,FALSE)</f>
        <v>0</v>
      </c>
      <c r="N19" s="146">
        <f t="shared" si="0"/>
        <v>81672.548847949438</v>
      </c>
      <c r="O19" s="105">
        <f t="shared" si="1"/>
        <v>4.0836274423974722E-2</v>
      </c>
      <c r="P19" s="105">
        <f t="shared" si="2"/>
        <v>2.7256153629458758E-2</v>
      </c>
      <c r="Q19" s="147">
        <f t="shared" si="3"/>
        <v>3.1853568193428017</v>
      </c>
      <c r="R19" s="100"/>
      <c r="S19" s="203"/>
      <c r="T19" s="22"/>
      <c r="U19" s="22"/>
    </row>
    <row r="20" spans="1:21" x14ac:dyDescent="0.25">
      <c r="B20" s="102" t="s">
        <v>75</v>
      </c>
      <c r="C20" s="103">
        <f>VLOOKUP($B20,'County Data'!$B$10:$C$46,2,FALSE)</f>
        <v>26530</v>
      </c>
      <c r="D20" s="132">
        <f>VLOOKUP($B20,Floor!$B$6:$M$45,4,FALSE)</f>
        <v>16043.478260869566</v>
      </c>
      <c r="E20" s="104">
        <f>VLOOKUP($B20,Burden!$B$6:$H$40,6,FALSE)</f>
        <v>7756.8481115570157</v>
      </c>
      <c r="F20" s="104">
        <f>VLOOKUP($B20,'Health Status'!$B$6:$H$40,6,FALSE)</f>
        <v>6742.4041672757712</v>
      </c>
      <c r="G20" s="104">
        <f>VLOOKUP($B20,Ethnicity!$B$6:$H$40,6,FALSE)</f>
        <v>5376.2529562231848</v>
      </c>
      <c r="H20" s="104">
        <f>VLOOKUP($B20,Poverty!$B$6:$H$40,6,FALSE)</f>
        <v>3561.0891159942889</v>
      </c>
      <c r="I20" s="104">
        <f>VLOOKUP($B20,Rurality!$B$6:$H$40,6,FALSE)</f>
        <v>13686.588201495193</v>
      </c>
      <c r="J20" s="104">
        <f>VLOOKUP($B20,Education!$B$6:$H$40,6,FALSE)</f>
        <v>3065.7603683021816</v>
      </c>
      <c r="K20" s="133">
        <f>VLOOKUP($B20,Language!$B$6:$H$40,6,FALSE)</f>
        <v>5714.0383783217412</v>
      </c>
      <c r="L20" s="169">
        <f>VLOOKUP($B20,Matching!$B$7:$L$40,10,FALSE)</f>
        <v>0</v>
      </c>
      <c r="M20" s="170">
        <f>VLOOKUP($B20,Incentives!$B$7:$Y$40,23,FALSE)</f>
        <v>0</v>
      </c>
      <c r="N20" s="146">
        <f t="shared" si="0"/>
        <v>61946.459560038944</v>
      </c>
      <c r="O20" s="105">
        <f t="shared" si="1"/>
        <v>3.0973229780019471E-2</v>
      </c>
      <c r="P20" s="105">
        <f t="shared" si="2"/>
        <v>2.8202252565894727E-2</v>
      </c>
      <c r="Q20" s="147">
        <f t="shared" si="3"/>
        <v>2.3349588978529567</v>
      </c>
      <c r="R20" s="100"/>
      <c r="S20" s="203"/>
      <c r="T20" s="22"/>
      <c r="U20" s="22"/>
    </row>
    <row r="21" spans="1:21" x14ac:dyDescent="0.25">
      <c r="B21" s="102" t="s">
        <v>77</v>
      </c>
      <c r="C21" s="103">
        <f>VLOOKUP($B21,'County Data'!$B$10:$C$46,2,FALSE)</f>
        <v>26840</v>
      </c>
      <c r="D21" s="132">
        <f>VLOOKUP($B21,Floor!$B$6:$M$45,4,FALSE)</f>
        <v>16043.478260869566</v>
      </c>
      <c r="E21" s="104">
        <f>VLOOKUP($B21,Burden!$B$6:$H$40,6,FALSE)</f>
        <v>7432.723065404728</v>
      </c>
      <c r="F21" s="104">
        <f>VLOOKUP($B21,'Health Status'!$B$6:$H$40,6,FALSE)</f>
        <v>4278.3785135653643</v>
      </c>
      <c r="G21" s="104">
        <f>VLOOKUP($B21,Ethnicity!$B$6:$H$40,6,FALSE)</f>
        <v>5752.4508855378735</v>
      </c>
      <c r="H21" s="104">
        <f>VLOOKUP($B21,Poverty!$B$6:$H$40,6,FALSE)</f>
        <v>4314.3444573568513</v>
      </c>
      <c r="I21" s="104">
        <f>VLOOKUP($B21,Rurality!$B$6:$H$40,6,FALSE)</f>
        <v>8375.5496653724877</v>
      </c>
      <c r="J21" s="104">
        <f>VLOOKUP($B21,Education!$B$6:$H$40,6,FALSE)</f>
        <v>2463.825895966716</v>
      </c>
      <c r="K21" s="133">
        <f>VLOOKUP($B21,Language!$B$6:$H$40,6,FALSE)</f>
        <v>2960.2797089235009</v>
      </c>
      <c r="L21" s="169">
        <f>VLOOKUP($B21,Matching!$B$7:$L$40,10,FALSE)</f>
        <v>0</v>
      </c>
      <c r="M21" s="170">
        <f>VLOOKUP($B21,Incentives!$B$7:$Y$40,23,FALSE)</f>
        <v>0</v>
      </c>
      <c r="N21" s="146">
        <f t="shared" si="0"/>
        <v>51621.030452997082</v>
      </c>
      <c r="O21" s="105">
        <f t="shared" si="1"/>
        <v>2.5810515226498541E-2</v>
      </c>
      <c r="P21" s="105">
        <f t="shared" si="2"/>
        <v>2.8531792644878044E-2</v>
      </c>
      <c r="Q21" s="147">
        <f t="shared" si="3"/>
        <v>1.9232872747018286</v>
      </c>
      <c r="R21" s="100"/>
      <c r="S21" s="203"/>
      <c r="T21" s="22"/>
      <c r="U21" s="22"/>
    </row>
    <row r="22" spans="1:21" x14ac:dyDescent="0.25">
      <c r="B22" s="106" t="s">
        <v>84</v>
      </c>
      <c r="C22" s="103">
        <f>VLOOKUP($B22,'County Data'!$B$10:$C$46,2,FALSE)</f>
        <v>31080</v>
      </c>
      <c r="D22" s="132">
        <f>VLOOKUP($B22,Floor!$B$6:$M$45,4,FALSE)</f>
        <v>37434.782608695656</v>
      </c>
      <c r="E22" s="104">
        <f>VLOOKUP($B22,Burden!$B$6:$H$40,6,FALSE)</f>
        <v>9026.3278929794415</v>
      </c>
      <c r="F22" s="104">
        <f>VLOOKUP($B22,'Health Status'!$B$6:$H$40,6,FALSE)</f>
        <v>6449.8694499277299</v>
      </c>
      <c r="G22" s="104">
        <f>VLOOKUP($B22,Ethnicity!$B$6:$H$40,6,FALSE)</f>
        <v>10033.010576781853</v>
      </c>
      <c r="H22" s="104">
        <f>VLOOKUP($B22,Poverty!$B$6:$H$40,6,FALSE)</f>
        <v>3912.2483197990791</v>
      </c>
      <c r="I22" s="104">
        <f>VLOOKUP($B22,Rurality!$B$6:$H$40,6,FALSE)</f>
        <v>9560.438624054168</v>
      </c>
      <c r="J22" s="104">
        <f>VLOOKUP($B22,Education!$B$6:$H$40,6,FALSE)</f>
        <v>5013.1676956165384</v>
      </c>
      <c r="K22" s="133">
        <f>VLOOKUP($B22,Language!$B$6:$H$40,6,FALSE)</f>
        <v>11618.462593749524</v>
      </c>
      <c r="L22" s="169">
        <f>VLOOKUP($B22,Matching!$B$7:$L$40,10,FALSE)</f>
        <v>0</v>
      </c>
      <c r="M22" s="170">
        <f>VLOOKUP($B22,Incentives!$B$7:$Y$40,23,FALSE)</f>
        <v>0</v>
      </c>
      <c r="N22" s="146">
        <f t="shared" si="0"/>
        <v>93048.307761603981</v>
      </c>
      <c r="O22" s="105">
        <f t="shared" si="1"/>
        <v>4.6524153880801992E-2</v>
      </c>
      <c r="P22" s="105">
        <f t="shared" si="2"/>
        <v>3.3039050499359526E-2</v>
      </c>
      <c r="Q22" s="147">
        <f t="shared" si="3"/>
        <v>2.9938322960619042</v>
      </c>
      <c r="R22" s="100"/>
      <c r="S22" s="203"/>
      <c r="T22" s="22"/>
      <c r="U22" s="22"/>
    </row>
    <row r="23" spans="1:21" x14ac:dyDescent="0.25">
      <c r="B23" s="102" t="s">
        <v>70</v>
      </c>
      <c r="C23" s="103">
        <f>VLOOKUP($B23,'County Data'!$B$10:$C$46,2,FALSE)</f>
        <v>32105</v>
      </c>
      <c r="D23" s="132">
        <f>VLOOKUP($B23,Floor!$B$6:$M$45,4,FALSE)</f>
        <v>16043.478260869566</v>
      </c>
      <c r="E23" s="104">
        <f>VLOOKUP($B23,Burden!$B$6:$H$40,6,FALSE)</f>
        <v>8824.9243639259676</v>
      </c>
      <c r="F23" s="104">
        <f>VLOOKUP($B23,'Health Status'!$B$6:$H$40,6,FALSE)</f>
        <v>13083.766741501822</v>
      </c>
      <c r="G23" s="104">
        <f>VLOOKUP($B23,Ethnicity!$B$6:$H$40,6,FALSE)</f>
        <v>9467.1406458104047</v>
      </c>
      <c r="H23" s="104">
        <f>VLOOKUP($B23,Poverty!$B$6:$H$40,6,FALSE)</f>
        <v>6187.2165403931012</v>
      </c>
      <c r="I23" s="104">
        <f>VLOOKUP($B23,Rurality!$B$6:$H$40,6,FALSE)</f>
        <v>11517.726109086958</v>
      </c>
      <c r="J23" s="104">
        <f>VLOOKUP($B23,Education!$B$6:$H$40,6,FALSE)</f>
        <v>7320.5788222983501</v>
      </c>
      <c r="K23" s="133">
        <f>VLOOKUP($B23,Language!$B$6:$H$40,6,FALSE)</f>
        <v>17241.115016215605</v>
      </c>
      <c r="L23" s="169">
        <f>VLOOKUP($B23,Matching!$B$7:$L$40,10,FALSE)</f>
        <v>0</v>
      </c>
      <c r="M23" s="170">
        <f>VLOOKUP($B23,Incentives!$B$7:$Y$40,23,FALSE)</f>
        <v>0</v>
      </c>
      <c r="N23" s="146">
        <f t="shared" si="0"/>
        <v>89685.946500101767</v>
      </c>
      <c r="O23" s="105">
        <f t="shared" si="1"/>
        <v>4.4842973250050884E-2</v>
      </c>
      <c r="P23" s="105">
        <f t="shared" si="2"/>
        <v>3.4128658825030161E-2</v>
      </c>
      <c r="Q23" s="147">
        <f t="shared" si="3"/>
        <v>2.7935195919670384</v>
      </c>
      <c r="R23" s="100"/>
      <c r="S23" s="203"/>
      <c r="T23" s="22"/>
      <c r="U23" s="22"/>
    </row>
    <row r="24" spans="1:21" x14ac:dyDescent="0.25">
      <c r="B24" s="102" t="s">
        <v>52</v>
      </c>
      <c r="C24" s="103">
        <f>VLOOKUP($B24,'County Data'!$B$10:$C$46,2,FALSE)</f>
        <v>39455</v>
      </c>
      <c r="D24" s="132">
        <f>VLOOKUP($B24,Floor!$B$6:$M$45,4,FALSE)</f>
        <v>16043.478260869566</v>
      </c>
      <c r="E24" s="104">
        <f>VLOOKUP($B24,Burden!$B$6:$H$40,6,FALSE)</f>
        <v>11476.516868275412</v>
      </c>
      <c r="F24" s="104">
        <f>VLOOKUP($B24,'Health Status'!$B$6:$H$40,6,FALSE)</f>
        <v>8899.879663522559</v>
      </c>
      <c r="G24" s="104">
        <f>VLOOKUP($B24,Ethnicity!$B$6:$H$40,6,FALSE)</f>
        <v>9366.321702441659</v>
      </c>
      <c r="H24" s="104">
        <f>VLOOKUP($B24,Poverty!$B$6:$H$40,6,FALSE)</f>
        <v>4776.7760543266504</v>
      </c>
      <c r="I24" s="104">
        <f>VLOOKUP($B24,Rurality!$B$6:$H$40,6,FALSE)</f>
        <v>11405.527229047644</v>
      </c>
      <c r="J24" s="104">
        <f>VLOOKUP($B24,Education!$B$6:$H$40,6,FALSE)</f>
        <v>3972.9114984462267</v>
      </c>
      <c r="K24" s="133">
        <f>VLOOKUP($B24,Language!$B$6:$H$40,6,FALSE)</f>
        <v>8290.0348084224443</v>
      </c>
      <c r="L24" s="169">
        <f>VLOOKUP($B24,Matching!$B$7:$L$40,10,FALSE)</f>
        <v>0</v>
      </c>
      <c r="M24" s="170">
        <f>VLOOKUP($B24,Incentives!$B$7:$Y$40,23,FALSE)</f>
        <v>0</v>
      </c>
      <c r="N24" s="146">
        <f t="shared" si="0"/>
        <v>74231.446085352145</v>
      </c>
      <c r="O24" s="105">
        <f t="shared" si="1"/>
        <v>3.7115723042676074E-2</v>
      </c>
      <c r="P24" s="105">
        <f t="shared" si="2"/>
        <v>4.1941947794473293E-2</v>
      </c>
      <c r="Q24" s="147">
        <f t="shared" si="3"/>
        <v>1.8814205065353478</v>
      </c>
      <c r="R24" s="100"/>
      <c r="S24" s="203"/>
      <c r="T24" s="22"/>
      <c r="U24" s="22"/>
    </row>
    <row r="25" spans="1:21" hidden="1" x14ac:dyDescent="0.25">
      <c r="B25" s="102" t="s">
        <v>68</v>
      </c>
      <c r="C25" s="103">
        <f>VLOOKUP($B25,'County Data'!$B$10:$C$46,2,FALSE)</f>
        <v>0</v>
      </c>
      <c r="D25" s="132">
        <v>0</v>
      </c>
      <c r="E25" s="104">
        <f>VLOOKUP($B25,Burden!$B$6:$H$40,6,FALSE)</f>
        <v>0</v>
      </c>
      <c r="F25" s="104">
        <f>VLOOKUP($B25,'Health Status'!$B$6:$H$40,6,FALSE)</f>
        <v>0</v>
      </c>
      <c r="G25" s="104">
        <f>VLOOKUP($B25,Ethnicity!$B$6:$H$40,6,FALSE)</f>
        <v>0</v>
      </c>
      <c r="H25" s="104">
        <f>VLOOKUP($B25,Poverty!$B$6:$H$40,6,FALSE)</f>
        <v>0</v>
      </c>
      <c r="I25" s="104">
        <f>VLOOKUP($B25,Rurality!$B$6:$H$40,6,FALSE)</f>
        <v>0</v>
      </c>
      <c r="J25" s="104">
        <f>VLOOKUP($B25,Education!$B$6:$H$40,6,FALSE)</f>
        <v>0</v>
      </c>
      <c r="K25" s="133">
        <f>VLOOKUP($B25,Language!$B$6:$H$40,6,FALSE)</f>
        <v>0</v>
      </c>
      <c r="L25" s="169">
        <f>VLOOKUP($B25,Matching!$B$7:$L$40,10,FALSE)</f>
        <v>0</v>
      </c>
      <c r="M25" s="170">
        <f>VLOOKUP($B25,Incentives!$B$7:$Y$40,23,FALSE)</f>
        <v>0</v>
      </c>
      <c r="N25" s="146">
        <f t="shared" si="0"/>
        <v>0</v>
      </c>
      <c r="O25" s="105">
        <f t="shared" si="1"/>
        <v>0</v>
      </c>
      <c r="P25" s="105">
        <f t="shared" si="2"/>
        <v>0</v>
      </c>
      <c r="Q25" s="147" t="e">
        <f t="shared" si="3"/>
        <v>#DIV/0!</v>
      </c>
      <c r="R25" s="100"/>
      <c r="S25" s="203" t="s">
        <v>149</v>
      </c>
      <c r="T25" s="22"/>
      <c r="U25" s="22"/>
    </row>
    <row r="26" spans="1:21" x14ac:dyDescent="0.25">
      <c r="B26" s="102" t="s">
        <v>53</v>
      </c>
      <c r="C26" s="103">
        <f>VLOOKUP($B26,'County Data'!$B$10:$C$46,2,FALSE)</f>
        <v>53280</v>
      </c>
      <c r="D26" s="132">
        <f>VLOOKUP($B26,Floor!$B$6:$M$45,4,FALSE)</f>
        <v>16043.478260869566</v>
      </c>
      <c r="E26" s="104">
        <f>VLOOKUP($B26,Burden!$B$6:$H$40,6,FALSE)</f>
        <v>13624.265118755227</v>
      </c>
      <c r="F26" s="104">
        <f>VLOOKUP($B26,'Health Status'!$B$6:$H$40,6,FALSE)</f>
        <v>16425.133381803538</v>
      </c>
      <c r="G26" s="104">
        <f>VLOOKUP($B26,Ethnicity!$B$6:$H$40,6,FALSE)</f>
        <v>10301.361284650884</v>
      </c>
      <c r="H26" s="104">
        <f>VLOOKUP($B26,Poverty!$B$6:$H$40,6,FALSE)</f>
        <v>5916.4246337821414</v>
      </c>
      <c r="I26" s="104">
        <f>VLOOKUP($B26,Rurality!$B$6:$H$40,6,FALSE)</f>
        <v>17218.66260965625</v>
      </c>
      <c r="J26" s="104">
        <f>VLOOKUP($B26,Education!$B$6:$H$40,6,FALSE)</f>
        <v>6096.3525492328481</v>
      </c>
      <c r="K26" s="133">
        <f>VLOOKUP($B26,Language!$B$6:$H$40,6,FALSE)</f>
        <v>4927.2531656588226</v>
      </c>
      <c r="L26" s="169">
        <f>VLOOKUP($B26,Matching!$B$7:$L$40,10,FALSE)</f>
        <v>0</v>
      </c>
      <c r="M26" s="170">
        <f>VLOOKUP($B26,Incentives!$B$7:$Y$40,23,FALSE)</f>
        <v>0</v>
      </c>
      <c r="N26" s="146">
        <f t="shared" si="0"/>
        <v>90552.931004409271</v>
      </c>
      <c r="O26" s="105">
        <f t="shared" si="1"/>
        <v>4.5276465502204634E-2</v>
      </c>
      <c r="P26" s="105">
        <f t="shared" si="2"/>
        <v>5.6638372284616323E-2</v>
      </c>
      <c r="Q26" s="147">
        <f t="shared" si="3"/>
        <v>1.6995670233560298</v>
      </c>
      <c r="R26" s="100"/>
      <c r="S26" s="203"/>
      <c r="T26" s="22"/>
      <c r="U26" s="22"/>
    </row>
    <row r="27" spans="1:21" x14ac:dyDescent="0.25">
      <c r="B27" s="102" t="s">
        <v>54</v>
      </c>
      <c r="C27" s="103">
        <f>VLOOKUP($B27,'County Data'!$B$10:$C$46,2,FALSE)</f>
        <v>63315</v>
      </c>
      <c r="D27" s="132">
        <f>VLOOKUP($B27,Floor!$B$6:$M$45,4,FALSE)</f>
        <v>16043.478260869566</v>
      </c>
      <c r="E27" s="104">
        <f>VLOOKUP($B27,Burden!$B$6:$H$40,6,FALSE)</f>
        <v>22158.549400682885</v>
      </c>
      <c r="F27" s="104">
        <f>VLOOKUP($B27,'Health Status'!$B$6:$H$40,6,FALSE)</f>
        <v>20375.637817214407</v>
      </c>
      <c r="G27" s="104">
        <f>VLOOKUP($B27,Ethnicity!$B$6:$H$40,6,FALSE)</f>
        <v>19965.232200473452</v>
      </c>
      <c r="H27" s="104">
        <f>VLOOKUP($B27,Poverty!$B$6:$H$40,6,FALSE)</f>
        <v>9986.217395268699</v>
      </c>
      <c r="I27" s="104">
        <f>VLOOKUP($B27,Rurality!$B$6:$H$40,6,FALSE)</f>
        <v>18021.317846605263</v>
      </c>
      <c r="J27" s="104">
        <f>VLOOKUP($B27,Education!$B$6:$H$40,6,FALSE)</f>
        <v>8427.6692452088973</v>
      </c>
      <c r="K27" s="133">
        <f>VLOOKUP($B27,Language!$B$6:$H$40,6,FALSE)</f>
        <v>6430.9299098080046</v>
      </c>
      <c r="L27" s="169">
        <f>VLOOKUP($B27,Matching!$B$7:$L$40,10,FALSE)</f>
        <v>0</v>
      </c>
      <c r="M27" s="170">
        <f>VLOOKUP($B27,Incentives!$B$7:$Y$40,23,FALSE)</f>
        <v>0</v>
      </c>
      <c r="N27" s="146">
        <f t="shared" si="0"/>
        <v>121409.03207613117</v>
      </c>
      <c r="O27" s="105">
        <f t="shared" si="1"/>
        <v>6.0704516038065585E-2</v>
      </c>
      <c r="P27" s="105">
        <f t="shared" si="2"/>
        <v>6.7305903551060114E-2</v>
      </c>
      <c r="Q27" s="147">
        <f t="shared" si="3"/>
        <v>1.9175397943004213</v>
      </c>
      <c r="R27" s="100"/>
      <c r="S27" s="203"/>
      <c r="T27" s="22"/>
      <c r="U27" s="22"/>
    </row>
    <row r="28" spans="1:21" x14ac:dyDescent="0.25">
      <c r="B28" s="102" t="s">
        <v>65</v>
      </c>
      <c r="C28" s="103">
        <f>VLOOKUP($B28,'County Data'!$B$10:$C$46,2,FALSE)</f>
        <v>68075</v>
      </c>
      <c r="D28" s="132">
        <f>VLOOKUP($B28,Floor!$B$6:$M$45,4,FALSE)</f>
        <v>16043.478260869566</v>
      </c>
      <c r="E28" s="104">
        <f>VLOOKUP($B28,Burden!$B$6:$H$40,6,FALSE)</f>
        <v>23439.685217903389</v>
      </c>
      <c r="F28" s="104">
        <f>VLOOKUP($B28,'Health Status'!$B$6:$H$40,6,FALSE)</f>
        <v>17812.616839168313</v>
      </c>
      <c r="G28" s="104">
        <f>VLOOKUP($B28,Ethnicity!$B$6:$H$40,6,FALSE)</f>
        <v>22057.027025182793</v>
      </c>
      <c r="H28" s="104">
        <f>VLOOKUP($B28,Poverty!$B$6:$H$40,6,FALSE)</f>
        <v>11925.199328161827</v>
      </c>
      <c r="I28" s="104">
        <f>VLOOKUP($B28,Rurality!$B$6:$H$40,6,FALSE)</f>
        <v>18972.484463647277</v>
      </c>
      <c r="J28" s="104">
        <f>VLOOKUP($B28,Education!$B$6:$H$40,6,FALSE)</f>
        <v>10233.985335709549</v>
      </c>
      <c r="K28" s="133">
        <f>VLOOKUP($B28,Language!$B$6:$H$40,6,FALSE)</f>
        <v>15609.350348976017</v>
      </c>
      <c r="L28" s="169">
        <f>VLOOKUP($B28,Matching!$B$7:$L$40,10,FALSE)</f>
        <v>0</v>
      </c>
      <c r="M28" s="170">
        <f>VLOOKUP($B28,Incentives!$B$7:$Y$40,23,FALSE)</f>
        <v>0</v>
      </c>
      <c r="N28" s="146">
        <f t="shared" si="0"/>
        <v>136093.82681961873</v>
      </c>
      <c r="O28" s="105">
        <f t="shared" si="1"/>
        <v>6.8046913409809368E-2</v>
      </c>
      <c r="P28" s="105">
        <f t="shared" si="2"/>
        <v>7.236593831222328E-2</v>
      </c>
      <c r="Q28" s="147">
        <f t="shared" si="3"/>
        <v>1.9991748339275612</v>
      </c>
      <c r="R28" s="107">
        <f>SUM(N16:N28)/SUM(C16:C28)</f>
        <v>2.2415787576632864</v>
      </c>
      <c r="S28" s="203"/>
      <c r="T28" s="22"/>
      <c r="U28" s="22"/>
    </row>
    <row r="29" spans="1:21" x14ac:dyDescent="0.25">
      <c r="A29" s="40"/>
      <c r="B29" s="108" t="s">
        <v>76</v>
      </c>
      <c r="C29" s="109">
        <f>VLOOKUP($B29,'County Data'!$B$10:$C$46,2,FALSE)</f>
        <v>81495</v>
      </c>
      <c r="D29" s="134">
        <f>VLOOKUP($B29,Floor!$B$6:$M$45,4,FALSE)</f>
        <v>21391.304347826088</v>
      </c>
      <c r="E29" s="110">
        <f>VLOOKUP($B29,Burden!$B$6:$H$40,6,FALSE)</f>
        <v>20535.925588778282</v>
      </c>
      <c r="F29" s="110">
        <f>VLOOKUP($B29,'Health Status'!$B$6:$H$40,6,FALSE)</f>
        <v>22549.640103897917</v>
      </c>
      <c r="G29" s="110">
        <f>VLOOKUP($B29,Ethnicity!$B$6:$H$40,6,FALSE)</f>
        <v>31924.83541221387</v>
      </c>
      <c r="H29" s="110">
        <f>VLOOKUP($B29,Poverty!$B$6:$H$40,6,FALSE)</f>
        <v>12673.90697693388</v>
      </c>
      <c r="I29" s="110">
        <f>VLOOKUP($B29,Rurality!$B$6:$H$40,6,FALSE)</f>
        <v>17578.129676170523</v>
      </c>
      <c r="J29" s="110">
        <f>VLOOKUP($B29,Education!$B$6:$H$40,6,FALSE)</f>
        <v>17334.130842116843</v>
      </c>
      <c r="K29" s="135">
        <f>VLOOKUP($B29,Language!$B$6:$H$40,6,FALSE)</f>
        <v>58803.001110004501</v>
      </c>
      <c r="L29" s="171">
        <f>VLOOKUP($B29,Matching!$B$7:$L$40,10,FALSE)</f>
        <v>0</v>
      </c>
      <c r="M29" s="172">
        <f>VLOOKUP($B29,Incentives!$B$7:$Y$40,23,FALSE)</f>
        <v>0</v>
      </c>
      <c r="N29" s="148">
        <f t="shared" si="0"/>
        <v>202790.8740579419</v>
      </c>
      <c r="O29" s="111">
        <f t="shared" si="1"/>
        <v>0.10139543702897094</v>
      </c>
      <c r="P29" s="111">
        <f t="shared" si="2"/>
        <v>8.66318346346623E-2</v>
      </c>
      <c r="Q29" s="149">
        <f t="shared" si="3"/>
        <v>2.4883842451431608</v>
      </c>
      <c r="R29" s="100"/>
      <c r="S29" s="203"/>
      <c r="T29" s="22"/>
      <c r="U29" s="22"/>
    </row>
    <row r="30" spans="1:21" ht="15.75" customHeight="1" x14ac:dyDescent="0.25">
      <c r="A30" s="40"/>
      <c r="B30" s="108" t="s">
        <v>74</v>
      </c>
      <c r="C30" s="109">
        <f>VLOOKUP($B30,'County Data'!$B$10:$C$46,2,FALSE)</f>
        <v>83805</v>
      </c>
      <c r="D30" s="134">
        <f>VLOOKUP($B30,Floor!$B$6:$M$45,4,FALSE)</f>
        <v>21391.304347826088</v>
      </c>
      <c r="E30" s="110">
        <f>VLOOKUP($B30,Burden!$B$6:$H$40,6,FALSE)</f>
        <v>17904.316184894611</v>
      </c>
      <c r="F30" s="110">
        <f>VLOOKUP($B30,'Health Status'!$B$6:$H$40,6,FALSE)</f>
        <v>23062.790179846404</v>
      </c>
      <c r="G30" s="110">
        <f>VLOOKUP($B30,Ethnicity!$B$6:$H$40,6,FALSE)</f>
        <v>27184.529047623979</v>
      </c>
      <c r="H30" s="110">
        <f>VLOOKUP($B30,Poverty!$B$6:$H$40,6,FALSE)</f>
        <v>10376.077674799239</v>
      </c>
      <c r="I30" s="110">
        <f>VLOOKUP($B30,Rurality!$B$6:$H$40,6,FALSE)</f>
        <v>12361.515499750589</v>
      </c>
      <c r="J30" s="110">
        <f>VLOOKUP($B30,Education!$B$6:$H$40,6,FALSE)</f>
        <v>9567.5013178125319</v>
      </c>
      <c r="K30" s="135">
        <f>VLOOKUP($B30,Language!$B$6:$H$40,6,FALSE)</f>
        <v>29405.685112991378</v>
      </c>
      <c r="L30" s="171">
        <f>VLOOKUP($B30,Matching!$B$7:$L$40,10,FALSE)</f>
        <v>0</v>
      </c>
      <c r="M30" s="172">
        <f>VLOOKUP($B30,Incentives!$B$7:$Y$40,23,FALSE)</f>
        <v>0</v>
      </c>
      <c r="N30" s="148">
        <f t="shared" si="0"/>
        <v>151253.71936554482</v>
      </c>
      <c r="O30" s="111">
        <f t="shared" si="1"/>
        <v>7.5626859682772413E-2</v>
      </c>
      <c r="P30" s="111">
        <f t="shared" si="2"/>
        <v>8.9087439739344423E-2</v>
      </c>
      <c r="Q30" s="149">
        <f t="shared" si="3"/>
        <v>1.8048292985567069</v>
      </c>
      <c r="R30" s="100"/>
      <c r="S30" s="203"/>
      <c r="T30" s="22"/>
      <c r="U30" s="22"/>
    </row>
    <row r="31" spans="1:21" x14ac:dyDescent="0.25">
      <c r="B31" s="108" t="s">
        <v>64</v>
      </c>
      <c r="C31" s="109">
        <f>VLOOKUP($B31,'County Data'!$B$10:$C$46,2,FALSE)</f>
        <v>86560</v>
      </c>
      <c r="D31" s="134">
        <f>VLOOKUP($B31,Floor!$B$6:$M$45,4,FALSE)</f>
        <v>21391.304347826088</v>
      </c>
      <c r="E31" s="110">
        <f>VLOOKUP($B31,Burden!$B$6:$H$40,6,FALSE)</f>
        <v>30538.426381856581</v>
      </c>
      <c r="F31" s="110">
        <f>VLOOKUP($B31,'Health Status'!$B$6:$H$40,6,FALSE)</f>
        <v>28376.875130493605</v>
      </c>
      <c r="G31" s="110">
        <f>VLOOKUP($B31,Ethnicity!$B$6:$H$40,6,FALSE)</f>
        <v>18569.826410276914</v>
      </c>
      <c r="H31" s="110">
        <f>VLOOKUP($B31,Poverty!$B$6:$H$40,6,FALSE)</f>
        <v>15310.869927792861</v>
      </c>
      <c r="I31" s="110">
        <f>VLOOKUP($B31,Rurality!$B$6:$H$40,6,FALSE)</f>
        <v>28872.106595041012</v>
      </c>
      <c r="J31" s="110">
        <f>VLOOKUP($B31,Education!$B$6:$H$40,6,FALSE)</f>
        <v>10116.177457182697</v>
      </c>
      <c r="K31" s="135">
        <f>VLOOKUP($B31,Language!$B$6:$H$40,6,FALSE)</f>
        <v>7787.1368473768371</v>
      </c>
      <c r="L31" s="171">
        <f>VLOOKUP($B31,Matching!$B$7:$L$40,10,FALSE)</f>
        <v>0</v>
      </c>
      <c r="M31" s="172">
        <f>VLOOKUP($B31,Incentives!$B$7:$Y$40,23,FALSE)</f>
        <v>0</v>
      </c>
      <c r="N31" s="148">
        <f t="shared" si="0"/>
        <v>160962.72309784658</v>
      </c>
      <c r="O31" s="111">
        <f t="shared" si="1"/>
        <v>8.0481361548923297E-2</v>
      </c>
      <c r="P31" s="111">
        <f t="shared" si="2"/>
        <v>9.2016094312244542E-2</v>
      </c>
      <c r="Q31" s="149">
        <f t="shared" si="3"/>
        <v>1.859550867581407</v>
      </c>
      <c r="R31" s="100"/>
      <c r="S31" s="203"/>
      <c r="T31" s="22"/>
      <c r="U31" s="22"/>
    </row>
    <row r="32" spans="1:21" hidden="1" x14ac:dyDescent="0.25">
      <c r="B32" s="108" t="s">
        <v>50</v>
      </c>
      <c r="C32" s="109">
        <f>VLOOKUP($B32,'County Data'!$B$10:$C$46,2,FALSE)</f>
        <v>0</v>
      </c>
      <c r="D32" s="134">
        <v>0</v>
      </c>
      <c r="E32" s="110">
        <f>VLOOKUP($B32,Burden!$B$6:$H$40,6,FALSE)</f>
        <v>0</v>
      </c>
      <c r="F32" s="110">
        <f>VLOOKUP($B32,'Health Status'!$B$6:$H$40,6,FALSE)</f>
        <v>0</v>
      </c>
      <c r="G32" s="110">
        <f>VLOOKUP($B32,Ethnicity!$B$6:$H$40,6,FALSE)</f>
        <v>0</v>
      </c>
      <c r="H32" s="110">
        <f>VLOOKUP($B32,Poverty!$B$6:$H$40,6,FALSE)</f>
        <v>0</v>
      </c>
      <c r="I32" s="110">
        <f>VLOOKUP($B32,Rurality!$B$6:$H$40,6,FALSE)</f>
        <v>0</v>
      </c>
      <c r="J32" s="110">
        <f>VLOOKUP($B32,Education!$B$6:$H$40,6,FALSE)</f>
        <v>0</v>
      </c>
      <c r="K32" s="135">
        <f>VLOOKUP($B32,Language!$B$6:$H$40,6,FALSE)</f>
        <v>0</v>
      </c>
      <c r="L32" s="171">
        <f>VLOOKUP($B32,Matching!$B$7:$L$40,10,FALSE)</f>
        <v>0</v>
      </c>
      <c r="M32" s="172">
        <f>VLOOKUP($B32,Incentives!$B$7:$Y$40,23,FALSE)</f>
        <v>0</v>
      </c>
      <c r="N32" s="148">
        <f t="shared" si="0"/>
        <v>0</v>
      </c>
      <c r="O32" s="111">
        <f t="shared" si="1"/>
        <v>0</v>
      </c>
      <c r="P32" s="111">
        <f t="shared" si="2"/>
        <v>0</v>
      </c>
      <c r="Q32" s="149" t="e">
        <f t="shared" si="3"/>
        <v>#DIV/0!</v>
      </c>
      <c r="R32" s="100"/>
      <c r="S32" s="203" t="s">
        <v>149</v>
      </c>
      <c r="T32" s="22"/>
      <c r="U32" s="22"/>
    </row>
    <row r="33" spans="2:25" x14ac:dyDescent="0.25">
      <c r="B33" s="108" t="s">
        <v>81</v>
      </c>
      <c r="C33" s="109">
        <f>VLOOKUP($B33,'County Data'!$B$10:$C$46,2,FALSE)</f>
        <v>108605</v>
      </c>
      <c r="D33" s="134">
        <f>VLOOKUP($B33,Floor!$B$6:$M$45,4,FALSE)</f>
        <v>21391.304347826088</v>
      </c>
      <c r="E33" s="110">
        <f>VLOOKUP($B33,Burden!$B$6:$H$40,6,FALSE)</f>
        <v>24271.663742205674</v>
      </c>
      <c r="F33" s="110">
        <f>VLOOKUP($B33,'Health Status'!$B$6:$H$40,6,FALSE)</f>
        <v>30050.968323011635</v>
      </c>
      <c r="G33" s="110">
        <f>VLOOKUP($B33,Ethnicity!$B$6:$H$40,6,FALSE)</f>
        <v>34253.718337478203</v>
      </c>
      <c r="H33" s="110">
        <f>VLOOKUP($B33,Poverty!$B$6:$H$40,6,FALSE)</f>
        <v>12359.984280827659</v>
      </c>
      <c r="I33" s="110">
        <f>VLOOKUP($B33,Rurality!$B$6:$H$40,6,FALSE)</f>
        <v>18193.111031692875</v>
      </c>
      <c r="J33" s="110">
        <f>VLOOKUP($B33,Education!$B$6:$H$40,6,FALSE)</f>
        <v>15228.617156445544</v>
      </c>
      <c r="K33" s="135">
        <f>VLOOKUP($B33,Language!$B$6:$H$40,6,FALSE)</f>
        <v>39359.390189915226</v>
      </c>
      <c r="L33" s="171">
        <f>VLOOKUP($B33,Matching!$B$7:$L$40,10,FALSE)</f>
        <v>0</v>
      </c>
      <c r="M33" s="172">
        <f>VLOOKUP($B33,Incentives!$B$7:$Y$40,23,FALSE)</f>
        <v>0</v>
      </c>
      <c r="N33" s="148">
        <f t="shared" si="0"/>
        <v>195108.7574094029</v>
      </c>
      <c r="O33" s="111">
        <f t="shared" si="1"/>
        <v>9.7554378704701447E-2</v>
      </c>
      <c r="P33" s="111">
        <f t="shared" si="2"/>
        <v>0.11545064605800968</v>
      </c>
      <c r="Q33" s="149">
        <f t="shared" si="3"/>
        <v>1.7964988482059103</v>
      </c>
      <c r="R33" s="100"/>
      <c r="S33" s="203"/>
      <c r="T33" s="22"/>
      <c r="U33" s="22"/>
    </row>
    <row r="34" spans="2:25" x14ac:dyDescent="0.25">
      <c r="B34" s="108" t="s">
        <v>58</v>
      </c>
      <c r="C34" s="109">
        <f>VLOOKUP($B34,'County Data'!$B$10:$C$46,2,FALSE)</f>
        <v>112530</v>
      </c>
      <c r="D34" s="134">
        <f>VLOOKUP($B34,Floor!$B$6:$M$45,4,FALSE)</f>
        <v>21391.304347826088</v>
      </c>
      <c r="E34" s="110">
        <f>VLOOKUP($B34,Burden!$B$6:$H$40,6,FALSE)</f>
        <v>40390.850713051921</v>
      </c>
      <c r="F34" s="110">
        <f>VLOOKUP($B34,'Health Status'!$B$6:$H$40,6,FALSE)</f>
        <v>37567.484948259189</v>
      </c>
      <c r="G34" s="110">
        <f>VLOOKUP($B34,Ethnicity!$B$6:$H$40,6,FALSE)</f>
        <v>22726.102875437024</v>
      </c>
      <c r="H34" s="110">
        <f>VLOOKUP($B34,Poverty!$B$6:$H$40,6,FALSE)</f>
        <v>16486.333001615913</v>
      </c>
      <c r="I34" s="110">
        <f>VLOOKUP($B34,Rurality!$B$6:$H$40,6,FALSE)</f>
        <v>34364.833639291064</v>
      </c>
      <c r="J34" s="110">
        <f>VLOOKUP($B34,Education!$B$6:$H$40,6,FALSE)</f>
        <v>14627.918358211442</v>
      </c>
      <c r="K34" s="135">
        <f>VLOOKUP($B34,Language!$B$6:$H$40,6,FALSE)</f>
        <v>9155.3549400007632</v>
      </c>
      <c r="L34" s="171">
        <f>VLOOKUP($B34,Matching!$B$7:$L$40,10,FALSE)</f>
        <v>0</v>
      </c>
      <c r="M34" s="172">
        <f>VLOOKUP($B34,Incentives!$B$7:$Y$40,23,FALSE)</f>
        <v>0</v>
      </c>
      <c r="N34" s="148">
        <f t="shared" si="0"/>
        <v>196710.18282369338</v>
      </c>
      <c r="O34" s="111">
        <f t="shared" si="1"/>
        <v>9.8355091411846687E-2</v>
      </c>
      <c r="P34" s="111">
        <f t="shared" si="2"/>
        <v>0.1196230486709436</v>
      </c>
      <c r="Q34" s="149">
        <f t="shared" si="3"/>
        <v>1.7480688067510297</v>
      </c>
      <c r="R34" s="112">
        <f>SUM(N29:N35)/SUM(C29:C35)</f>
        <v>1.9172005132283207</v>
      </c>
      <c r="S34" s="203"/>
      <c r="T34" s="22"/>
      <c r="U34" s="22"/>
    </row>
    <row r="35" spans="2:25" hidden="1" x14ac:dyDescent="0.25">
      <c r="B35" s="108" t="s">
        <v>69</v>
      </c>
      <c r="C35" s="109">
        <f>VLOOKUP($B35,'County Data'!$B$10:$C$46,2,FALSE)</f>
        <v>0</v>
      </c>
      <c r="D35" s="134">
        <v>0</v>
      </c>
      <c r="E35" s="110">
        <f>VLOOKUP($B35,Burden!$B$6:$H$40,6,FALSE)</f>
        <v>0</v>
      </c>
      <c r="F35" s="110">
        <f>VLOOKUP($B35,'Health Status'!$B$6:$H$40,6,FALSE)</f>
        <v>0</v>
      </c>
      <c r="G35" s="110">
        <f>VLOOKUP($B35,Ethnicity!$B$6:$H$40,6,FALSE)</f>
        <v>0</v>
      </c>
      <c r="H35" s="110">
        <f>VLOOKUP($B35,Poverty!$B$6:$H$40,6,FALSE)</f>
        <v>0</v>
      </c>
      <c r="I35" s="110">
        <f>VLOOKUP($B35,Rurality!$B$6:$H$40,6,FALSE)</f>
        <v>0</v>
      </c>
      <c r="J35" s="110">
        <f>VLOOKUP($B35,Education!$B$6:$H$40,6,FALSE)</f>
        <v>0</v>
      </c>
      <c r="K35" s="135">
        <f>VLOOKUP($B35,Language!$B$6:$H$40,6,FALSE)</f>
        <v>0</v>
      </c>
      <c r="L35" s="171">
        <f>VLOOKUP($B35,Matching!$B$7:$L$40,10,FALSE)</f>
        <v>0</v>
      </c>
      <c r="M35" s="172">
        <f>VLOOKUP($B35,Incentives!$B$7:$Y$40,23,FALSE)</f>
        <v>0</v>
      </c>
      <c r="N35" s="148">
        <f t="shared" si="0"/>
        <v>0</v>
      </c>
      <c r="O35" s="111">
        <f t="shared" si="1"/>
        <v>0</v>
      </c>
      <c r="P35" s="111">
        <f t="shared" si="2"/>
        <v>0</v>
      </c>
      <c r="Q35" s="149" t="e">
        <f t="shared" si="3"/>
        <v>#DIV/0!</v>
      </c>
      <c r="S35" s="203" t="s">
        <v>147</v>
      </c>
      <c r="T35" s="22"/>
      <c r="U35" s="22"/>
    </row>
    <row r="36" spans="2:25" hidden="1" x14ac:dyDescent="0.25">
      <c r="B36" s="113" t="s">
        <v>57</v>
      </c>
      <c r="C36" s="114">
        <f>VLOOKUP($B36,'County Data'!$B$10:$C$46,2,FALSE)</f>
        <v>0</v>
      </c>
      <c r="D36" s="136">
        <v>0</v>
      </c>
      <c r="E36" s="115">
        <f>VLOOKUP($B36,Burden!$B$6:$H$40,6,FALSE)</f>
        <v>0</v>
      </c>
      <c r="F36" s="115">
        <f>VLOOKUP($B36,'Health Status'!$B$6:$H$40,6,FALSE)</f>
        <v>0</v>
      </c>
      <c r="G36" s="115">
        <f>VLOOKUP($B36,Ethnicity!$B$6:$H$40,6,FALSE)</f>
        <v>0</v>
      </c>
      <c r="H36" s="115">
        <f>VLOOKUP($B36,Poverty!$B$6:$H$40,6,FALSE)</f>
        <v>0</v>
      </c>
      <c r="I36" s="115">
        <f>VLOOKUP($B36,Rurality!$B$6:$H$40,6,FALSE)</f>
        <v>0</v>
      </c>
      <c r="J36" s="115">
        <f>VLOOKUP($B36,Education!$B$6:$H$40,6,FALSE)</f>
        <v>0</v>
      </c>
      <c r="K36" s="137">
        <f>VLOOKUP($B36,Language!$B$6:$H$40,6,FALSE)</f>
        <v>0</v>
      </c>
      <c r="L36" s="173">
        <f>VLOOKUP($B36,Matching!$B$7:$L$40,10,FALSE)</f>
        <v>0</v>
      </c>
      <c r="M36" s="174">
        <f>VLOOKUP($B36,Incentives!$B$7:$Y$40,23,FALSE)</f>
        <v>0</v>
      </c>
      <c r="N36" s="150">
        <f t="shared" si="0"/>
        <v>0</v>
      </c>
      <c r="O36" s="116">
        <f t="shared" si="1"/>
        <v>0</v>
      </c>
      <c r="P36" s="116">
        <f t="shared" si="2"/>
        <v>0</v>
      </c>
      <c r="Q36" s="151" t="e">
        <f t="shared" si="3"/>
        <v>#DIV/0!</v>
      </c>
      <c r="R36" s="100"/>
      <c r="S36" s="203" t="s">
        <v>147</v>
      </c>
      <c r="T36" s="22"/>
      <c r="U36" s="22"/>
    </row>
    <row r="37" spans="2:25" hidden="1" x14ac:dyDescent="0.25">
      <c r="B37" s="113" t="s">
        <v>62</v>
      </c>
      <c r="C37" s="114">
        <f>VLOOKUP($B37,'County Data'!$B$10:$C$46,2,FALSE)</f>
        <v>0</v>
      </c>
      <c r="D37" s="136">
        <v>0</v>
      </c>
      <c r="E37" s="115">
        <f>VLOOKUP($B37,Burden!$B$6:$H$40,6,FALSE)</f>
        <v>0</v>
      </c>
      <c r="F37" s="115">
        <f>VLOOKUP($B37,'Health Status'!$B$6:$H$40,6,FALSE)</f>
        <v>0</v>
      </c>
      <c r="G37" s="115">
        <f>VLOOKUP($B37,Ethnicity!$B$6:$H$40,6,FALSE)</f>
        <v>0</v>
      </c>
      <c r="H37" s="115">
        <f>VLOOKUP($B37,Poverty!$B$6:$H$40,6,FALSE)</f>
        <v>0</v>
      </c>
      <c r="I37" s="115">
        <f>VLOOKUP($B37,Rurality!$B$6:$H$40,6,FALSE)</f>
        <v>0</v>
      </c>
      <c r="J37" s="115">
        <f>VLOOKUP($B37,Education!$B$6:$H$40,6,FALSE)</f>
        <v>0</v>
      </c>
      <c r="K37" s="137">
        <f>VLOOKUP($B37,Language!$B$6:$H$40,6,FALSE)</f>
        <v>0</v>
      </c>
      <c r="L37" s="173">
        <f>VLOOKUP($B37,Matching!$B$7:$L$40,10,FALSE)</f>
        <v>0</v>
      </c>
      <c r="M37" s="174">
        <f>VLOOKUP($B37,Incentives!$B$7:$Y$40,23,FALSE)</f>
        <v>0</v>
      </c>
      <c r="N37" s="150">
        <f t="shared" si="0"/>
        <v>0</v>
      </c>
      <c r="O37" s="116">
        <f t="shared" si="1"/>
        <v>0</v>
      </c>
      <c r="P37" s="116">
        <f t="shared" si="2"/>
        <v>0</v>
      </c>
      <c r="Q37" s="151" t="e">
        <f t="shared" si="3"/>
        <v>#DIV/0!</v>
      </c>
      <c r="R37" s="100"/>
      <c r="S37" s="203" t="s">
        <v>147</v>
      </c>
      <c r="T37" s="22"/>
      <c r="U37" s="22"/>
    </row>
    <row r="38" spans="2:25" hidden="1" x14ac:dyDescent="0.25">
      <c r="B38" s="113" t="s">
        <v>71</v>
      </c>
      <c r="C38" s="114">
        <f>VLOOKUP($B38,'County Data'!$B$10:$C$46,2,FALSE)</f>
        <v>0</v>
      </c>
      <c r="D38" s="136">
        <v>0</v>
      </c>
      <c r="E38" s="115">
        <f>VLOOKUP($B38,Burden!$B$6:$H$40,6,FALSE)</f>
        <v>0</v>
      </c>
      <c r="F38" s="115">
        <f>VLOOKUP($B38,'Health Status'!$B$6:$H$40,6,FALSE)</f>
        <v>0</v>
      </c>
      <c r="G38" s="115">
        <f>VLOOKUP($B38,Ethnicity!$B$6:$H$40,6,FALSE)</f>
        <v>0</v>
      </c>
      <c r="H38" s="115">
        <f>VLOOKUP($B38,Poverty!$B$6:$H$40,6,FALSE)</f>
        <v>0</v>
      </c>
      <c r="I38" s="115">
        <f>VLOOKUP($B38,Rurality!$B$6:$H$40,6,FALSE)</f>
        <v>0</v>
      </c>
      <c r="J38" s="115">
        <f>VLOOKUP($B38,Education!$B$6:$H$40,6,FALSE)</f>
        <v>0</v>
      </c>
      <c r="K38" s="137">
        <f>VLOOKUP($B38,Language!$B$6:$H$40,6,FALSE)</f>
        <v>0</v>
      </c>
      <c r="L38" s="173">
        <f>VLOOKUP($B38,Matching!$B$7:$L$40,10,FALSE)</f>
        <v>0</v>
      </c>
      <c r="M38" s="174">
        <f>VLOOKUP($B38,Incentives!$B$7:$Y$40,23,FALSE)</f>
        <v>0</v>
      </c>
      <c r="N38" s="150">
        <f t="shared" si="0"/>
        <v>0</v>
      </c>
      <c r="O38" s="116">
        <f t="shared" si="1"/>
        <v>0</v>
      </c>
      <c r="P38" s="116">
        <f t="shared" si="2"/>
        <v>0</v>
      </c>
      <c r="Q38" s="151" t="e">
        <f t="shared" si="3"/>
        <v>#DIV/0!</v>
      </c>
      <c r="R38" s="117" t="e">
        <f>SUM(N36:N38)/SUM(C36:C38)</f>
        <v>#DIV/0!</v>
      </c>
      <c r="S38" s="203" t="s">
        <v>147</v>
      </c>
      <c r="T38" s="22"/>
      <c r="U38" s="22"/>
    </row>
    <row r="39" spans="2:25" hidden="1" x14ac:dyDescent="0.25">
      <c r="B39" s="118" t="s">
        <v>67</v>
      </c>
      <c r="C39" s="119">
        <f>VLOOKUP($B39,'County Data'!$B$10:$C$46,2,FALSE)</f>
        <v>0</v>
      </c>
      <c r="D39" s="138">
        <v>0</v>
      </c>
      <c r="E39" s="120">
        <f>VLOOKUP($B39,Burden!$B$6:$H$40,6,FALSE)</f>
        <v>0</v>
      </c>
      <c r="F39" s="120">
        <f>VLOOKUP($B39,'Health Status'!$B$6:$H$40,6,FALSE)</f>
        <v>0</v>
      </c>
      <c r="G39" s="120">
        <f>VLOOKUP($B39,Ethnicity!$B$6:$H$40,6,FALSE)</f>
        <v>0</v>
      </c>
      <c r="H39" s="120">
        <f>VLOOKUP($B39,Poverty!$B$6:$H$40,6,FALSE)</f>
        <v>0</v>
      </c>
      <c r="I39" s="120">
        <f>VLOOKUP($B39,Rurality!$B$6:$H$40,6,FALSE)</f>
        <v>0</v>
      </c>
      <c r="J39" s="120">
        <f>VLOOKUP($B39,Education!$B$6:$H$40,6,FALSE)</f>
        <v>0</v>
      </c>
      <c r="K39" s="139">
        <f>VLOOKUP($B39,Language!$B$6:$H$40,6,FALSE)</f>
        <v>0</v>
      </c>
      <c r="L39" s="175">
        <f>VLOOKUP($B39,Matching!$B$7:$L$40,10,FALSE)</f>
        <v>0</v>
      </c>
      <c r="M39" s="176">
        <f>VLOOKUP($B39,Incentives!$B$7:$Y$40,23,FALSE)</f>
        <v>0</v>
      </c>
      <c r="N39" s="152">
        <f t="shared" si="0"/>
        <v>0</v>
      </c>
      <c r="O39" s="121">
        <f t="shared" si="1"/>
        <v>0</v>
      </c>
      <c r="P39" s="121">
        <f t="shared" si="2"/>
        <v>0</v>
      </c>
      <c r="Q39" s="153" t="e">
        <f t="shared" si="3"/>
        <v>#DIV/0!</v>
      </c>
      <c r="R39" s="183"/>
      <c r="S39" s="203" t="s">
        <v>147</v>
      </c>
      <c r="T39" s="22"/>
      <c r="U39" s="22"/>
    </row>
    <row r="40" spans="2:25" hidden="1" x14ac:dyDescent="0.25">
      <c r="B40" s="118" t="s">
        <v>51</v>
      </c>
      <c r="C40" s="119">
        <f>VLOOKUP($B40,'County Data'!$B$10:$C$46,2,FALSE)</f>
        <v>0</v>
      </c>
      <c r="D40" s="138">
        <v>0</v>
      </c>
      <c r="E40" s="120">
        <f>VLOOKUP($B40,Burden!$B$6:$H$40,6,FALSE)</f>
        <v>0</v>
      </c>
      <c r="F40" s="120">
        <f>VLOOKUP($B40,'Health Status'!$B$6:$H$40,6,FALSE)</f>
        <v>0</v>
      </c>
      <c r="G40" s="120">
        <f>VLOOKUP($B40,Ethnicity!$B$6:$H$40,6,FALSE)</f>
        <v>0</v>
      </c>
      <c r="H40" s="120">
        <f>VLOOKUP($B40,Poverty!$B$6:$H$40,6,FALSE)</f>
        <v>0</v>
      </c>
      <c r="I40" s="120">
        <f>VLOOKUP($B40,Rurality!$B$6:$H$40,6,FALSE)</f>
        <v>0</v>
      </c>
      <c r="J40" s="120">
        <f>VLOOKUP($B40,Education!$B$6:$H$40,6,FALSE)</f>
        <v>0</v>
      </c>
      <c r="K40" s="139">
        <f>VLOOKUP($B40,Language!$B$6:$H$40,6,FALSE)</f>
        <v>0</v>
      </c>
      <c r="L40" s="175">
        <f>VLOOKUP($B40,Matching!$B$7:$L$40,10,FALSE)</f>
        <v>0</v>
      </c>
      <c r="M40" s="176">
        <f>VLOOKUP($B40,Incentives!$B$7:$Y$40,23,FALSE)</f>
        <v>0</v>
      </c>
      <c r="N40" s="152">
        <f t="shared" si="0"/>
        <v>0</v>
      </c>
      <c r="O40" s="121">
        <f t="shared" si="1"/>
        <v>0</v>
      </c>
      <c r="P40" s="121">
        <f t="shared" si="2"/>
        <v>0</v>
      </c>
      <c r="Q40" s="153" t="e">
        <f t="shared" si="3"/>
        <v>#DIV/0!</v>
      </c>
      <c r="R40" s="100"/>
      <c r="S40" s="203" t="s">
        <v>147</v>
      </c>
      <c r="T40" s="22"/>
      <c r="U40" s="22"/>
    </row>
    <row r="41" spans="2:25" hidden="1" x14ac:dyDescent="0.25">
      <c r="B41" s="118" t="s">
        <v>79</v>
      </c>
      <c r="C41" s="119">
        <f>VLOOKUP($B41,'County Data'!$B$10:$C$46,2,FALSE)</f>
        <v>0</v>
      </c>
      <c r="D41" s="138">
        <v>0</v>
      </c>
      <c r="E41" s="120">
        <f>VLOOKUP($B41,Burden!$B$6:$H$40,6,FALSE)</f>
        <v>0</v>
      </c>
      <c r="F41" s="120">
        <f>VLOOKUP($B41,'Health Status'!$B$6:$H$40,6,FALSE)</f>
        <v>0</v>
      </c>
      <c r="G41" s="120">
        <f>VLOOKUP($B41,Ethnicity!$B$6:$H$40,6,FALSE)</f>
        <v>0</v>
      </c>
      <c r="H41" s="120">
        <f>VLOOKUP($B41,Poverty!$B$6:$H$40,6,FALSE)</f>
        <v>0</v>
      </c>
      <c r="I41" s="120">
        <f>VLOOKUP($B41,Rurality!$B$6:$H$40,6,FALSE)</f>
        <v>0</v>
      </c>
      <c r="J41" s="120">
        <f>VLOOKUP($B41,Education!$B$6:$H$40,6,FALSE)</f>
        <v>0</v>
      </c>
      <c r="K41" s="139">
        <f>VLOOKUP($B41,Language!$B$6:$H$40,6,FALSE)</f>
        <v>0</v>
      </c>
      <c r="L41" s="175">
        <f>VLOOKUP($B41,Matching!$B$7:$L$40,10,FALSE)</f>
        <v>0</v>
      </c>
      <c r="M41" s="176">
        <f>VLOOKUP($B41,Incentives!$B$7:$Y$40,23,FALSE)</f>
        <v>0</v>
      </c>
      <c r="N41" s="152">
        <f t="shared" si="0"/>
        <v>0</v>
      </c>
      <c r="O41" s="121">
        <f t="shared" si="1"/>
        <v>0</v>
      </c>
      <c r="P41" s="121">
        <f t="shared" si="2"/>
        <v>0</v>
      </c>
      <c r="Q41" s="153" t="e">
        <f t="shared" si="3"/>
        <v>#DIV/0!</v>
      </c>
      <c r="R41" s="100"/>
      <c r="S41" s="203" t="s">
        <v>147</v>
      </c>
      <c r="T41" s="22"/>
      <c r="U41" s="22"/>
    </row>
    <row r="42" spans="2:25" hidden="1" x14ac:dyDescent="0.25">
      <c r="B42" s="118" t="s">
        <v>73</v>
      </c>
      <c r="C42" s="119">
        <f>VLOOKUP($B42,'County Data'!$B$10:$C$46,2,FALSE)</f>
        <v>0</v>
      </c>
      <c r="D42" s="138">
        <v>0</v>
      </c>
      <c r="E42" s="120">
        <f>VLOOKUP($B42,Burden!$B$6:$H$40,6,FALSE)</f>
        <v>0</v>
      </c>
      <c r="F42" s="120">
        <f>VLOOKUP($B42,'Health Status'!$B$6:$H$40,6,FALSE)</f>
        <v>0</v>
      </c>
      <c r="G42" s="120">
        <f>VLOOKUP($B42,Ethnicity!$B$6:$H$40,6,FALSE)</f>
        <v>0</v>
      </c>
      <c r="H42" s="120">
        <f>VLOOKUP($B42,Poverty!$B$6:$H$40,6,FALSE)</f>
        <v>0</v>
      </c>
      <c r="I42" s="120">
        <f>VLOOKUP($B42,Rurality!$B$6:$H$40,6,FALSE)</f>
        <v>0</v>
      </c>
      <c r="J42" s="120">
        <f>VLOOKUP($B42,Education!$B$6:$H$40,6,FALSE)</f>
        <v>0</v>
      </c>
      <c r="K42" s="139">
        <f>VLOOKUP($B42,Language!$B$6:$H$40,6,FALSE)</f>
        <v>0</v>
      </c>
      <c r="L42" s="175">
        <f>VLOOKUP($B42,Matching!$B$7:$L$40,10,FALSE)</f>
        <v>0</v>
      </c>
      <c r="M42" s="176">
        <f>VLOOKUP($B42,Incentives!$B$7:$Y$40,23,FALSE)</f>
        <v>0</v>
      </c>
      <c r="N42" s="152">
        <f t="shared" si="0"/>
        <v>0</v>
      </c>
      <c r="O42" s="121">
        <f t="shared" si="1"/>
        <v>0</v>
      </c>
      <c r="P42" s="121">
        <f t="shared" si="2"/>
        <v>0</v>
      </c>
      <c r="Q42" s="153" t="e">
        <f t="shared" si="3"/>
        <v>#DIV/0!</v>
      </c>
      <c r="R42" s="122" t="e">
        <f>SUM(N39:N42)/SUM(C39:C42)</f>
        <v>#DIV/0!</v>
      </c>
      <c r="S42" s="203" t="s">
        <v>147</v>
      </c>
      <c r="T42" s="22"/>
      <c r="U42" s="22"/>
    </row>
    <row r="43" spans="2:25" ht="15.75" thickBot="1" x14ac:dyDescent="0.3">
      <c r="B43" s="123" t="s">
        <v>2</v>
      </c>
      <c r="C43" s="124">
        <f t="shared" ref="C43:H43" si="4">SUM(C9:C42)</f>
        <v>940705</v>
      </c>
      <c r="D43" s="140">
        <f t="shared" si="4"/>
        <v>369000.00000000012</v>
      </c>
      <c r="E43" s="125">
        <f t="shared" si="4"/>
        <v>271833.33333333337</v>
      </c>
      <c r="F43" s="125">
        <f t="shared" si="4"/>
        <v>271833.33333333337</v>
      </c>
      <c r="G43" s="125">
        <f t="shared" si="4"/>
        <v>271833.33333333331</v>
      </c>
      <c r="H43" s="125">
        <f t="shared" si="4"/>
        <v>135916.66666666663</v>
      </c>
      <c r="I43" s="125">
        <f t="shared" ref="I43:J43" si="5">SUM(I9:I42)</f>
        <v>271833.33333333331</v>
      </c>
      <c r="J43" s="125">
        <f t="shared" si="5"/>
        <v>135916.66666666666</v>
      </c>
      <c r="K43" s="141">
        <f t="shared" ref="K43:P43" si="6">SUM(K9:K42)</f>
        <v>271833.3333333332</v>
      </c>
      <c r="L43" s="177">
        <f t="shared" si="6"/>
        <v>0</v>
      </c>
      <c r="M43" s="178">
        <f t="shared" si="6"/>
        <v>0</v>
      </c>
      <c r="N43" s="140">
        <f t="shared" si="6"/>
        <v>2000000</v>
      </c>
      <c r="O43" s="126">
        <f t="shared" si="6"/>
        <v>0.99999999999999989</v>
      </c>
      <c r="P43" s="126">
        <f t="shared" si="6"/>
        <v>1</v>
      </c>
      <c r="Q43" s="154">
        <f t="shared" si="3"/>
        <v>2.1260650256988112</v>
      </c>
      <c r="R43" s="127">
        <f>N43/C43</f>
        <v>2.1260650256988112</v>
      </c>
      <c r="T43" s="203" t="s">
        <v>153</v>
      </c>
      <c r="U43" s="210"/>
      <c r="V43" s="203"/>
      <c r="W43" s="203"/>
      <c r="X43" s="203"/>
      <c r="Y43" s="203"/>
    </row>
    <row r="44" spans="2:25" ht="15.75" thickTop="1" x14ac:dyDescent="0.25">
      <c r="N44" s="38"/>
      <c r="T44" s="203" t="s">
        <v>154</v>
      </c>
      <c r="U44" s="203"/>
      <c r="V44" s="203"/>
      <c r="W44" s="203"/>
      <c r="X44" s="203"/>
      <c r="Y44" s="203"/>
    </row>
    <row r="45" spans="2:25" ht="17.25" x14ac:dyDescent="0.25">
      <c r="B45" s="188" t="s">
        <v>145</v>
      </c>
      <c r="L45" s="213" t="s">
        <v>43</v>
      </c>
      <c r="M45" s="213"/>
      <c r="N45" s="213"/>
      <c r="O45" s="213"/>
      <c r="P45" s="213"/>
      <c r="T45" s="203"/>
      <c r="U45" s="210"/>
      <c r="V45" s="203"/>
      <c r="W45" s="203"/>
      <c r="X45" s="203"/>
      <c r="Y45" s="203"/>
    </row>
    <row r="46" spans="2:25" ht="17.25" x14ac:dyDescent="0.25">
      <c r="B46" s="189" t="s">
        <v>133</v>
      </c>
      <c r="C46" s="39"/>
      <c r="D46" s="39"/>
      <c r="E46" s="39"/>
      <c r="F46" s="39"/>
      <c r="L46" s="41" t="s">
        <v>44</v>
      </c>
      <c r="M46" s="42" t="s">
        <v>45</v>
      </c>
      <c r="N46" s="43" t="s">
        <v>46</v>
      </c>
      <c r="O46" s="208"/>
      <c r="P46" s="208"/>
      <c r="T46" s="211"/>
      <c r="U46" s="210"/>
      <c r="V46" s="203"/>
      <c r="W46" s="203"/>
      <c r="X46" s="203"/>
      <c r="Y46" s="203"/>
    </row>
    <row r="47" spans="2:25" ht="17.25" x14ac:dyDescent="0.25">
      <c r="B47" s="189" t="s">
        <v>134</v>
      </c>
      <c r="C47" s="25"/>
      <c r="L47" t="s">
        <v>120</v>
      </c>
      <c r="M47" t="s">
        <v>121</v>
      </c>
      <c r="N47" t="s">
        <v>122</v>
      </c>
      <c r="O47" s="179"/>
      <c r="P47" s="179"/>
      <c r="T47" s="203"/>
      <c r="U47" s="203"/>
      <c r="V47" s="203"/>
      <c r="W47" s="203"/>
      <c r="X47" s="203"/>
      <c r="Y47" s="203"/>
    </row>
    <row r="48" spans="2:25" ht="17.25" x14ac:dyDescent="0.25">
      <c r="B48" s="189" t="s">
        <v>132</v>
      </c>
      <c r="C48" s="25"/>
      <c r="N48" s="38"/>
      <c r="T48" s="203"/>
      <c r="U48" s="203"/>
      <c r="V48" s="203"/>
      <c r="W48" s="203"/>
      <c r="X48" s="203"/>
      <c r="Y48" s="203"/>
    </row>
    <row r="49" spans="2:3" ht="17.25" x14ac:dyDescent="0.25">
      <c r="B49" s="189" t="s">
        <v>131</v>
      </c>
      <c r="C49" s="25"/>
    </row>
    <row r="51" spans="2:3" ht="23.25" x14ac:dyDescent="0.35">
      <c r="B51" s="209" t="s">
        <v>152</v>
      </c>
    </row>
  </sheetData>
  <sortState xmlns:xlrd2="http://schemas.microsoft.com/office/spreadsheetml/2017/richdata2" ref="T9:U42">
    <sortCondition ref="U9:U42"/>
  </sortState>
  <mergeCells count="4">
    <mergeCell ref="L45:P45"/>
    <mergeCell ref="D7:K7"/>
    <mergeCell ref="L7:M7"/>
    <mergeCell ref="N7:Q7"/>
  </mergeCells>
  <pageMargins left="0.7" right="0.7" top="0.75" bottom="0.75" header="0.3" footer="0.3"/>
  <pageSetup paperSize="5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2"/>
  <sheetViews>
    <sheetView zoomScaleNormal="100" workbookViewId="0">
      <selection activeCell="T16" sqref="T16"/>
    </sheetView>
  </sheetViews>
  <sheetFormatPr defaultRowHeight="15" x14ac:dyDescent="0.25"/>
  <cols>
    <col min="2" max="2" width="18" customWidth="1"/>
    <col min="3" max="3" width="13" customWidth="1"/>
    <col min="4" max="4" width="12.140625" bestFit="1" customWidth="1"/>
    <col min="5" max="5" width="12.5703125" bestFit="1" customWidth="1"/>
    <col min="6" max="6" width="11.140625" bestFit="1" customWidth="1"/>
    <col min="7" max="7" width="13.5703125" bestFit="1" customWidth="1"/>
    <col min="8" max="8" width="15.140625" bestFit="1" customWidth="1"/>
    <col min="9" max="9" width="10.85546875" bestFit="1" customWidth="1"/>
    <col min="10" max="10" width="11.28515625" bestFit="1" customWidth="1"/>
    <col min="11" max="11" width="14.5703125" bestFit="1" customWidth="1"/>
    <col min="12" max="12" width="14.5703125" hidden="1" customWidth="1"/>
    <col min="13" max="16" width="10.7109375" hidden="1" customWidth="1"/>
  </cols>
  <sheetData>
    <row r="1" spans="2:21" ht="18.75" x14ac:dyDescent="0.3">
      <c r="B1" s="24" t="str">
        <f>Input!$B$1</f>
        <v>PHAB Funding and Incentives Subcommittee</v>
      </c>
    </row>
    <row r="2" spans="2:21" ht="15.75" x14ac:dyDescent="0.25">
      <c r="B2" s="23"/>
    </row>
    <row r="3" spans="2:21" ht="15.75" x14ac:dyDescent="0.25">
      <c r="B3" s="23" t="str">
        <f>Input!$B$2</f>
        <v>Updated March, 2021</v>
      </c>
    </row>
    <row r="4" spans="2:21" ht="15" customHeight="1" x14ac:dyDescent="0.25"/>
    <row r="5" spans="2:21" x14ac:dyDescent="0.25">
      <c r="B5" t="s">
        <v>21</v>
      </c>
      <c r="C5" s="9">
        <f>Input!C4</f>
        <v>2000000</v>
      </c>
      <c r="D5" s="203"/>
    </row>
    <row r="6" spans="2:21" x14ac:dyDescent="0.25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21" s="2" customFormat="1" ht="30" x14ac:dyDescent="0.25">
      <c r="B7" s="65" t="s">
        <v>7</v>
      </c>
      <c r="C7" s="186" t="s">
        <v>1</v>
      </c>
      <c r="D7" s="66" t="s">
        <v>20</v>
      </c>
      <c r="E7" s="186" t="s">
        <v>8</v>
      </c>
      <c r="F7" s="186" t="s">
        <v>9</v>
      </c>
      <c r="G7" s="186" t="s">
        <v>18</v>
      </c>
      <c r="H7" s="186" t="s">
        <v>82</v>
      </c>
      <c r="I7" s="186" t="s">
        <v>83</v>
      </c>
      <c r="J7" s="186" t="s">
        <v>40</v>
      </c>
      <c r="K7" s="186" t="s">
        <v>19</v>
      </c>
      <c r="L7" s="184" t="s">
        <v>110</v>
      </c>
      <c r="M7" s="184" t="s">
        <v>94</v>
      </c>
      <c r="N7" s="184" t="s">
        <v>98</v>
      </c>
      <c r="O7" s="184" t="s">
        <v>99</v>
      </c>
      <c r="P7" s="185" t="s">
        <v>100</v>
      </c>
    </row>
    <row r="8" spans="2:21" x14ac:dyDescent="0.25">
      <c r="B8" s="59" t="s">
        <v>10</v>
      </c>
      <c r="C8" s="60">
        <f>Input!C14</f>
        <v>0</v>
      </c>
      <c r="D8" s="60">
        <f>Input!C6</f>
        <v>0.1845</v>
      </c>
      <c r="E8" s="60">
        <f>Input!C15</f>
        <v>0.13591666666666666</v>
      </c>
      <c r="F8" s="60">
        <f>Input!C16</f>
        <v>0.13591666666666666</v>
      </c>
      <c r="G8" s="60">
        <f>Input!C17</f>
        <v>0.13591666666666666</v>
      </c>
      <c r="H8" s="60">
        <f>Input!C19</f>
        <v>6.7958333333333329E-2</v>
      </c>
      <c r="I8" s="60">
        <f>Input!C18</f>
        <v>0.13591666666666666</v>
      </c>
      <c r="J8" s="60">
        <f>Input!C20</f>
        <v>6.7958333333333329E-2</v>
      </c>
      <c r="K8" s="60">
        <f>Input!C21</f>
        <v>0.13591666666666666</v>
      </c>
      <c r="L8" s="60">
        <f>Input!C24</f>
        <v>0</v>
      </c>
      <c r="M8" s="60">
        <f>Input!C30</f>
        <v>0</v>
      </c>
      <c r="N8" s="60">
        <f>Input!C31</f>
        <v>0</v>
      </c>
      <c r="O8" s="60">
        <f>Input!C32</f>
        <v>0</v>
      </c>
      <c r="P8" s="61">
        <f>Input!C33</f>
        <v>0</v>
      </c>
      <c r="Q8" s="187">
        <f>1-SUM(C8:P8)</f>
        <v>0</v>
      </c>
    </row>
    <row r="9" spans="2:21" x14ac:dyDescent="0.25">
      <c r="B9" s="62" t="s">
        <v>11</v>
      </c>
      <c r="C9" s="63">
        <f>$C$5*C$8</f>
        <v>0</v>
      </c>
      <c r="D9" s="63">
        <f t="shared" ref="D9:P9" si="0">$C$5*D$8</f>
        <v>369000</v>
      </c>
      <c r="E9" s="63">
        <f t="shared" si="0"/>
        <v>271833.33333333331</v>
      </c>
      <c r="F9" s="63">
        <f t="shared" si="0"/>
        <v>271833.33333333331</v>
      </c>
      <c r="G9" s="63">
        <f t="shared" si="0"/>
        <v>271833.33333333331</v>
      </c>
      <c r="H9" s="63">
        <f t="shared" si="0"/>
        <v>135916.66666666666</v>
      </c>
      <c r="I9" s="63">
        <f t="shared" si="0"/>
        <v>271833.33333333331</v>
      </c>
      <c r="J9" s="63">
        <f t="shared" si="0"/>
        <v>135916.66666666666</v>
      </c>
      <c r="K9" s="63">
        <f t="shared" si="0"/>
        <v>271833.33333333331</v>
      </c>
      <c r="L9" s="63">
        <f t="shared" si="0"/>
        <v>0</v>
      </c>
      <c r="M9" s="63">
        <f t="shared" si="0"/>
        <v>0</v>
      </c>
      <c r="N9" s="63">
        <f t="shared" si="0"/>
        <v>0</v>
      </c>
      <c r="O9" s="63">
        <f t="shared" si="0"/>
        <v>0</v>
      </c>
      <c r="P9" s="64">
        <f t="shared" si="0"/>
        <v>0</v>
      </c>
    </row>
    <row r="10" spans="2:21" x14ac:dyDescent="0.25">
      <c r="B10" s="17" t="s">
        <v>49</v>
      </c>
      <c r="C10" s="156">
        <v>16910</v>
      </c>
      <c r="D10" s="53" t="str">
        <f>IF(C10&gt;375000,"Extra Large",IF(C10&gt;150000,"Large",IF(C10&gt;75000,"Medium",IF(C10&gt;20000,"Small","Extra Small"))))</f>
        <v>Extra Small</v>
      </c>
      <c r="E10" s="159">
        <v>8.6297479999999996E-2</v>
      </c>
      <c r="F10" s="159">
        <v>0.18899999999999997</v>
      </c>
      <c r="G10" s="159">
        <v>7.063313313313313E-2</v>
      </c>
      <c r="H10" s="162">
        <v>0.26671850699844479</v>
      </c>
      <c r="I10" s="35">
        <v>0.41</v>
      </c>
      <c r="J10" s="159">
        <v>0.10388846896783405</v>
      </c>
      <c r="K10" s="159">
        <v>1.370043472533263E-2</v>
      </c>
      <c r="L10" s="81">
        <v>361764</v>
      </c>
      <c r="M10" s="75" t="s">
        <v>4</v>
      </c>
      <c r="N10" s="75"/>
      <c r="O10" s="75"/>
      <c r="P10" s="76"/>
      <c r="Q10" s="7"/>
      <c r="T10" s="198"/>
      <c r="U10" s="198"/>
    </row>
    <row r="11" spans="2:21" hidden="1" x14ac:dyDescent="0.25">
      <c r="B11" s="207" t="s">
        <v>50</v>
      </c>
      <c r="C11" s="157">
        <v>0</v>
      </c>
      <c r="D11" s="54" t="str">
        <f t="shared" ref="D11:D46" si="1">IF(C11&gt;375000,"Extra Large",IF(C11&gt;150000,"Large",IF(C11&gt;75000,"Medium",IF(C11&gt;20000,"Small","Extra Small"))))</f>
        <v>Extra Small</v>
      </c>
      <c r="E11" s="160">
        <v>4.0668929999999999E-2</v>
      </c>
      <c r="F11" s="160">
        <v>0.113</v>
      </c>
      <c r="G11" s="160">
        <v>0.14361773223435065</v>
      </c>
      <c r="H11" s="163">
        <v>0.2787920514707628</v>
      </c>
      <c r="I11" s="36">
        <v>0.188</v>
      </c>
      <c r="J11" s="160">
        <v>4.5600029431241265E-2</v>
      </c>
      <c r="K11" s="160">
        <v>4.7645036926935759E-2</v>
      </c>
      <c r="L11" s="82">
        <v>1791995</v>
      </c>
      <c r="M11" s="77" t="s">
        <v>4</v>
      </c>
      <c r="N11" s="77"/>
      <c r="O11" s="77"/>
      <c r="P11" s="78"/>
      <c r="Q11" s="7"/>
      <c r="T11" s="198"/>
      <c r="U11" s="198"/>
    </row>
    <row r="12" spans="2:21" hidden="1" x14ac:dyDescent="0.25">
      <c r="B12" s="207" t="s">
        <v>51</v>
      </c>
      <c r="C12" s="157">
        <v>0</v>
      </c>
      <c r="D12" s="54" t="str">
        <f t="shared" si="1"/>
        <v>Extra Small</v>
      </c>
      <c r="E12" s="160">
        <v>5.6630379999999994E-2</v>
      </c>
      <c r="F12" s="160">
        <v>0.14499999999999999</v>
      </c>
      <c r="G12" s="160">
        <v>0.11963882618510158</v>
      </c>
      <c r="H12" s="163">
        <v>0.13811687940583775</v>
      </c>
      <c r="I12" s="36">
        <v>0.18099999999999999</v>
      </c>
      <c r="J12" s="160">
        <v>6.7258416497069859E-2</v>
      </c>
      <c r="K12" s="160">
        <v>4.0874504898895145E-2</v>
      </c>
      <c r="L12" s="82">
        <v>5019520</v>
      </c>
      <c r="M12" s="77" t="s">
        <v>4</v>
      </c>
      <c r="N12" s="77"/>
      <c r="O12" s="77"/>
      <c r="P12" s="78"/>
      <c r="Q12" s="206" t="s">
        <v>147</v>
      </c>
      <c r="T12" s="198"/>
      <c r="U12" s="198"/>
    </row>
    <row r="13" spans="2:21" x14ac:dyDescent="0.25">
      <c r="B13" s="18" t="s">
        <v>52</v>
      </c>
      <c r="C13" s="157">
        <v>39455</v>
      </c>
      <c r="D13" s="54" t="str">
        <f t="shared" si="1"/>
        <v>Small</v>
      </c>
      <c r="E13" s="160">
        <v>8.1797190000000006E-2</v>
      </c>
      <c r="F13" s="160">
        <v>0.15</v>
      </c>
      <c r="G13" s="160">
        <v>8.7962242622270634E-2</v>
      </c>
      <c r="H13" s="163">
        <v>0.22943563260789376</v>
      </c>
      <c r="I13" s="36">
        <v>0.39</v>
      </c>
      <c r="J13" s="160">
        <v>8.4374440665831399E-2</v>
      </c>
      <c r="K13" s="160">
        <v>3.0615877536489856E-2</v>
      </c>
      <c r="L13" s="82">
        <v>446000</v>
      </c>
      <c r="M13" s="77" t="s">
        <v>4</v>
      </c>
      <c r="N13" s="77"/>
      <c r="O13" s="77"/>
      <c r="P13" s="78"/>
      <c r="Q13" s="206"/>
      <c r="T13" s="198"/>
      <c r="U13" s="198"/>
    </row>
    <row r="14" spans="2:21" x14ac:dyDescent="0.25">
      <c r="B14" s="18" t="s">
        <v>53</v>
      </c>
      <c r="C14" s="157">
        <v>53280</v>
      </c>
      <c r="D14" s="54" t="str">
        <f t="shared" si="1"/>
        <v>Small</v>
      </c>
      <c r="E14" s="160">
        <v>7.1908329999999993E-2</v>
      </c>
      <c r="F14" s="160">
        <v>0.20499999999999999</v>
      </c>
      <c r="G14" s="160">
        <v>7.1640675699592926E-2</v>
      </c>
      <c r="H14" s="163">
        <v>0.21043750992536128</v>
      </c>
      <c r="I14" s="36">
        <v>0.436</v>
      </c>
      <c r="J14" s="160">
        <v>9.5876003321339609E-2</v>
      </c>
      <c r="K14" s="160">
        <v>1.3475133196508903E-2</v>
      </c>
      <c r="L14" s="82">
        <v>615328</v>
      </c>
      <c r="M14" s="77" t="s">
        <v>4</v>
      </c>
      <c r="N14" s="77"/>
      <c r="O14" s="77"/>
      <c r="P14" s="78"/>
      <c r="Q14" s="206"/>
      <c r="T14" s="198"/>
      <c r="U14" s="198"/>
    </row>
    <row r="15" spans="2:21" x14ac:dyDescent="0.25">
      <c r="B15" s="18" t="s">
        <v>54</v>
      </c>
      <c r="C15" s="157">
        <v>63315</v>
      </c>
      <c r="D15" s="54" t="str">
        <f t="shared" si="1"/>
        <v>Small</v>
      </c>
      <c r="E15" s="160">
        <v>9.8415849999999985E-2</v>
      </c>
      <c r="F15" s="160">
        <v>0.214</v>
      </c>
      <c r="G15" s="160">
        <v>0.11684147343147785</v>
      </c>
      <c r="H15" s="163">
        <v>0.29889760747123673</v>
      </c>
      <c r="I15" s="36">
        <v>0.38400000000000001</v>
      </c>
      <c r="J15" s="160">
        <v>0.11153339844579388</v>
      </c>
      <c r="K15" s="160">
        <v>1.4799926913941166E-2</v>
      </c>
      <c r="L15" s="82">
        <v>332653</v>
      </c>
      <c r="M15" s="77" t="s">
        <v>4</v>
      </c>
      <c r="N15" s="77"/>
      <c r="O15" s="77"/>
      <c r="P15" s="78"/>
      <c r="Q15" s="206"/>
      <c r="T15" s="198"/>
      <c r="U15" s="198"/>
    </row>
    <row r="16" spans="2:21" x14ac:dyDescent="0.25">
      <c r="B16" s="18" t="s">
        <v>55</v>
      </c>
      <c r="C16" s="157">
        <v>23440</v>
      </c>
      <c r="D16" s="54" t="str">
        <f t="shared" si="1"/>
        <v>Small</v>
      </c>
      <c r="E16" s="160">
        <v>8.3662790000000001E-2</v>
      </c>
      <c r="F16" s="160">
        <v>0.23</v>
      </c>
      <c r="G16" s="160">
        <v>7.2167256122129209E-2</v>
      </c>
      <c r="H16" s="163">
        <v>0.26902958152958151</v>
      </c>
      <c r="I16" s="36">
        <v>0.48</v>
      </c>
      <c r="J16" s="160">
        <v>0.12438408845090734</v>
      </c>
      <c r="K16" s="160">
        <v>1.2850082372322899E-2</v>
      </c>
      <c r="L16" s="82">
        <v>1584688</v>
      </c>
      <c r="M16" s="77" t="s">
        <v>4</v>
      </c>
      <c r="N16" s="77"/>
      <c r="O16" s="77"/>
      <c r="P16" s="78"/>
      <c r="Q16" s="206"/>
      <c r="T16" s="198"/>
      <c r="U16" s="198"/>
    </row>
    <row r="17" spans="2:21" hidden="1" x14ac:dyDescent="0.25">
      <c r="B17" s="207" t="s">
        <v>56</v>
      </c>
      <c r="C17" s="157">
        <v>0</v>
      </c>
      <c r="D17" s="54" t="str">
        <f t="shared" si="1"/>
        <v>Extra Small</v>
      </c>
      <c r="E17" s="160">
        <v>9.8974709999999994E-2</v>
      </c>
      <c r="F17" s="160">
        <v>0.20399999999999999</v>
      </c>
      <c r="G17" s="160">
        <v>9.2726707246634385E-2</v>
      </c>
      <c r="H17" s="163">
        <v>0.24108864278348205</v>
      </c>
      <c r="I17" s="36">
        <v>0.38700000000000001</v>
      </c>
      <c r="J17" s="160">
        <v>0.10947055258663435</v>
      </c>
      <c r="K17" s="160">
        <v>1.3102458447150332E-2</v>
      </c>
      <c r="L17" s="82">
        <v>703878</v>
      </c>
      <c r="M17" s="77" t="s">
        <v>4</v>
      </c>
      <c r="N17" s="77"/>
      <c r="O17" s="77"/>
      <c r="P17" s="78"/>
      <c r="Q17" s="206" t="s">
        <v>147</v>
      </c>
      <c r="T17" s="198"/>
      <c r="U17" s="198"/>
    </row>
    <row r="18" spans="2:21" hidden="1" x14ac:dyDescent="0.25">
      <c r="B18" s="207" t="s">
        <v>57</v>
      </c>
      <c r="C18" s="157">
        <v>0</v>
      </c>
      <c r="D18" s="54" t="str">
        <f t="shared" si="1"/>
        <v>Extra Small</v>
      </c>
      <c r="E18" s="160">
        <v>5.375133E-2</v>
      </c>
      <c r="F18" s="160">
        <v>0.13699999999999998</v>
      </c>
      <c r="G18" s="160">
        <v>6.5085252435783877E-2</v>
      </c>
      <c r="H18" s="163">
        <v>0.18767801513128615</v>
      </c>
      <c r="I18" s="36">
        <v>0.27600000000000002</v>
      </c>
      <c r="J18" s="160">
        <v>6.4709260039046049E-2</v>
      </c>
      <c r="K18" s="160">
        <v>2.1095839220861116E-2</v>
      </c>
      <c r="L18" s="82">
        <v>3814900</v>
      </c>
      <c r="M18" s="77" t="s">
        <v>4</v>
      </c>
      <c r="N18" s="77"/>
      <c r="O18" s="77"/>
      <c r="P18" s="78"/>
      <c r="Q18" s="206" t="s">
        <v>147</v>
      </c>
      <c r="T18" s="198"/>
      <c r="U18" s="198"/>
    </row>
    <row r="19" spans="2:21" x14ac:dyDescent="0.25">
      <c r="B19" s="18" t="s">
        <v>58</v>
      </c>
      <c r="C19" s="157">
        <v>112530</v>
      </c>
      <c r="D19" s="54" t="str">
        <f t="shared" si="1"/>
        <v>Medium</v>
      </c>
      <c r="E19" s="160">
        <v>0.10093575</v>
      </c>
      <c r="F19" s="160">
        <v>0.222</v>
      </c>
      <c r="G19" s="160">
        <v>7.483175318261126E-2</v>
      </c>
      <c r="H19" s="163">
        <v>0.27764111677500819</v>
      </c>
      <c r="I19" s="36">
        <v>0.41199999999999998</v>
      </c>
      <c r="J19" s="160">
        <v>0.10892266853651207</v>
      </c>
      <c r="K19" s="160">
        <v>1.1854937610714216E-2</v>
      </c>
      <c r="L19" s="82">
        <v>444652</v>
      </c>
      <c r="M19" s="77" t="s">
        <v>4</v>
      </c>
      <c r="N19" s="77"/>
      <c r="O19" s="77"/>
      <c r="P19" s="78"/>
      <c r="Q19" s="206"/>
      <c r="T19" s="198"/>
      <c r="U19" s="198"/>
    </row>
    <row r="20" spans="2:21" x14ac:dyDescent="0.25">
      <c r="B20" s="27" t="s">
        <v>90</v>
      </c>
      <c r="C20" s="51">
        <v>1990</v>
      </c>
      <c r="D20" s="51" t="str">
        <f t="shared" si="1"/>
        <v>Extra Small</v>
      </c>
      <c r="E20" s="52"/>
      <c r="F20" s="52"/>
      <c r="G20" s="52">
        <v>7.0267435762978503E-2</v>
      </c>
      <c r="H20" s="180">
        <v>0.2425039452919516</v>
      </c>
      <c r="I20" s="52"/>
      <c r="J20" s="52">
        <v>9.668508287292818E-2</v>
      </c>
      <c r="K20" s="52">
        <v>2.7442371020856202E-2</v>
      </c>
      <c r="L20" s="190"/>
      <c r="M20" s="190"/>
      <c r="N20" s="190"/>
      <c r="O20" s="190"/>
      <c r="P20" s="191"/>
      <c r="Q20" s="206"/>
      <c r="T20" s="198"/>
      <c r="U20" s="198"/>
    </row>
    <row r="21" spans="2:21" x14ac:dyDescent="0.25">
      <c r="B21" s="18" t="s">
        <v>59</v>
      </c>
      <c r="C21" s="157">
        <v>7315</v>
      </c>
      <c r="D21" s="54" t="str">
        <f t="shared" si="1"/>
        <v>Extra Small</v>
      </c>
      <c r="E21" s="160">
        <v>7.9334200000000007E-2</v>
      </c>
      <c r="F21" s="160">
        <v>0.155</v>
      </c>
      <c r="G21" s="160">
        <v>5.3181122093832661E-2</v>
      </c>
      <c r="H21" s="163">
        <v>0.27554486272289841</v>
      </c>
      <c r="I21" s="36">
        <v>1</v>
      </c>
      <c r="J21" s="160">
        <v>0.11228389444949954</v>
      </c>
      <c r="K21" s="160">
        <v>6.2718786464410732E-3</v>
      </c>
      <c r="L21" s="82">
        <v>0</v>
      </c>
      <c r="M21" s="77" t="s">
        <v>4</v>
      </c>
      <c r="N21" s="77"/>
      <c r="O21" s="77"/>
      <c r="P21" s="78"/>
      <c r="Q21" s="206"/>
      <c r="T21" s="198"/>
      <c r="U21" s="198"/>
    </row>
    <row r="22" spans="2:21" ht="13.5" customHeight="1" x14ac:dyDescent="0.25">
      <c r="B22" s="18" t="s">
        <v>60</v>
      </c>
      <c r="C22" s="157">
        <v>7280</v>
      </c>
      <c r="D22" s="54" t="str">
        <f t="shared" si="1"/>
        <v>Extra Small</v>
      </c>
      <c r="E22" s="160">
        <v>9.5802139999999994E-2</v>
      </c>
      <c r="F22" s="160">
        <v>0.122</v>
      </c>
      <c r="G22" s="160">
        <v>9.0896513558384059E-2</v>
      </c>
      <c r="H22" s="163">
        <v>0.27595435976898153</v>
      </c>
      <c r="I22" s="36">
        <v>0.443</v>
      </c>
      <c r="J22" s="160">
        <v>0.1021883920076118</v>
      </c>
      <c r="K22" s="160">
        <v>1.5169194865810968E-2</v>
      </c>
      <c r="L22" s="82">
        <v>172270</v>
      </c>
      <c r="M22" s="77" t="s">
        <v>4</v>
      </c>
      <c r="N22" s="77"/>
      <c r="O22" s="77"/>
      <c r="P22" s="78"/>
      <c r="Q22" s="206"/>
      <c r="T22" s="198"/>
      <c r="U22" s="198"/>
    </row>
    <row r="23" spans="2:21" x14ac:dyDescent="0.25">
      <c r="B23" s="18" t="s">
        <v>61</v>
      </c>
      <c r="C23" s="157">
        <v>25640</v>
      </c>
      <c r="D23" s="54" t="str">
        <f t="shared" si="1"/>
        <v>Small</v>
      </c>
      <c r="E23" s="160">
        <v>4.750973E-2</v>
      </c>
      <c r="F23" s="160">
        <v>0.16399999999999998</v>
      </c>
      <c r="G23" s="160">
        <v>0.13401928148372313</v>
      </c>
      <c r="H23" s="163">
        <v>0.2071000743234381</v>
      </c>
      <c r="I23" s="36">
        <v>0.52200000000000002</v>
      </c>
      <c r="J23" s="160">
        <v>0.18945337620578778</v>
      </c>
      <c r="K23" s="160">
        <v>0.15446440944154463</v>
      </c>
      <c r="L23" s="82">
        <v>729676</v>
      </c>
      <c r="M23" s="77" t="s">
        <v>4</v>
      </c>
      <c r="N23" s="77"/>
      <c r="O23" s="77"/>
      <c r="P23" s="78"/>
      <c r="Q23" s="206"/>
      <c r="T23" s="198"/>
      <c r="U23" s="198"/>
    </row>
    <row r="24" spans="2:21" hidden="1" x14ac:dyDescent="0.25">
      <c r="B24" s="207" t="s">
        <v>62</v>
      </c>
      <c r="C24" s="157">
        <v>0</v>
      </c>
      <c r="D24" s="54" t="str">
        <f t="shared" si="1"/>
        <v>Extra Small</v>
      </c>
      <c r="E24" s="160">
        <v>7.6263950000000011E-2</v>
      </c>
      <c r="F24" s="160">
        <v>0.184</v>
      </c>
      <c r="G24" s="160">
        <v>8.6331539621126913E-2</v>
      </c>
      <c r="H24" s="163">
        <v>0.26824137573224915</v>
      </c>
      <c r="I24" s="36">
        <v>0.20100000000000001</v>
      </c>
      <c r="J24" s="160">
        <v>0.10373965023348289</v>
      </c>
      <c r="K24" s="160">
        <v>3.5138513530205188E-2</v>
      </c>
      <c r="L24" s="82">
        <v>2298330</v>
      </c>
      <c r="M24" s="77" t="s">
        <v>4</v>
      </c>
      <c r="N24" s="77"/>
      <c r="O24" s="77"/>
      <c r="P24" s="78"/>
      <c r="Q24" s="206" t="s">
        <v>147</v>
      </c>
      <c r="T24" s="198"/>
      <c r="U24" s="198"/>
    </row>
    <row r="25" spans="2:21" x14ac:dyDescent="0.25">
      <c r="B25" s="18" t="s">
        <v>63</v>
      </c>
      <c r="C25" s="157">
        <v>24105</v>
      </c>
      <c r="D25" s="54" t="str">
        <f t="shared" si="1"/>
        <v>Small</v>
      </c>
      <c r="E25" s="160">
        <v>8.5968059999999999E-2</v>
      </c>
      <c r="F25" s="160">
        <v>0.13699999999999998</v>
      </c>
      <c r="G25" s="160">
        <v>0.28928833772631035</v>
      </c>
      <c r="H25" s="163">
        <v>0.30349789583239062</v>
      </c>
      <c r="I25" s="36">
        <v>0.63100000000000001</v>
      </c>
      <c r="J25" s="160">
        <v>0.14004805260495701</v>
      </c>
      <c r="K25" s="160">
        <v>4.9472082622527551E-2</v>
      </c>
      <c r="L25" s="82">
        <v>261557</v>
      </c>
      <c r="M25" s="77" t="s">
        <v>4</v>
      </c>
      <c r="N25" s="77"/>
      <c r="O25" s="77"/>
      <c r="P25" s="78"/>
      <c r="Q25" s="206"/>
      <c r="T25" s="198"/>
      <c r="U25" s="198"/>
    </row>
    <row r="26" spans="2:21" x14ac:dyDescent="0.25">
      <c r="B26" s="18" t="s">
        <v>64</v>
      </c>
      <c r="C26" s="157">
        <v>86560</v>
      </c>
      <c r="D26" s="54" t="str">
        <f t="shared" si="1"/>
        <v>Medium</v>
      </c>
      <c r="E26" s="160">
        <v>9.9210980000000004E-2</v>
      </c>
      <c r="F26" s="160">
        <v>0.218</v>
      </c>
      <c r="G26" s="160">
        <v>7.9491348954738486E-2</v>
      </c>
      <c r="H26" s="163">
        <v>0.33520512729383611</v>
      </c>
      <c r="I26" s="36">
        <v>0.45</v>
      </c>
      <c r="J26" s="160">
        <v>9.7927181538266198E-2</v>
      </c>
      <c r="K26" s="160">
        <v>1.3108498984552895E-2</v>
      </c>
      <c r="L26" s="82">
        <v>657998</v>
      </c>
      <c r="M26" s="77" t="s">
        <v>4</v>
      </c>
      <c r="N26" s="77"/>
      <c r="O26" s="77"/>
      <c r="P26" s="78"/>
      <c r="Q26" s="206"/>
      <c r="T26" s="198"/>
      <c r="U26" s="198"/>
    </row>
    <row r="27" spans="2:21" x14ac:dyDescent="0.25">
      <c r="B27" s="18" t="s">
        <v>65</v>
      </c>
      <c r="C27" s="157">
        <v>68075</v>
      </c>
      <c r="D27" s="54" t="str">
        <f t="shared" si="1"/>
        <v>Small</v>
      </c>
      <c r="E27" s="160">
        <v>9.6826550000000011E-2</v>
      </c>
      <c r="F27" s="160">
        <v>0.17399999999999999</v>
      </c>
      <c r="G27" s="160">
        <v>0.12005730659025787</v>
      </c>
      <c r="H27" s="163">
        <v>0.33197549770290963</v>
      </c>
      <c r="I27" s="36">
        <v>0.376</v>
      </c>
      <c r="J27" s="160">
        <v>0.12596828136800087</v>
      </c>
      <c r="K27" s="160">
        <v>3.3411008437123343E-2</v>
      </c>
      <c r="L27" s="82">
        <v>542426</v>
      </c>
      <c r="M27" s="77" t="s">
        <v>4</v>
      </c>
      <c r="N27" s="77"/>
      <c r="O27" s="77"/>
      <c r="P27" s="78"/>
      <c r="Q27" s="206"/>
      <c r="T27" s="198"/>
      <c r="U27" s="198"/>
    </row>
    <row r="28" spans="2:21" x14ac:dyDescent="0.25">
      <c r="B28" s="18" t="s">
        <v>66</v>
      </c>
      <c r="C28" s="157">
        <v>8075</v>
      </c>
      <c r="D28" s="54" t="str">
        <f t="shared" si="1"/>
        <v>Extra Small</v>
      </c>
      <c r="E28" s="160">
        <v>9.3079839999999997E-2</v>
      </c>
      <c r="F28" s="160">
        <v>0.17899999999999999</v>
      </c>
      <c r="G28" s="160">
        <v>8.9506566364911389E-2</v>
      </c>
      <c r="H28" s="163">
        <v>0.32648275862068965</v>
      </c>
      <c r="I28" s="36">
        <v>0.63300000000000001</v>
      </c>
      <c r="J28" s="160">
        <v>0.13104736038024103</v>
      </c>
      <c r="K28" s="160">
        <v>1.7890772128060263E-2</v>
      </c>
      <c r="L28" s="82">
        <v>187877</v>
      </c>
      <c r="M28" s="77" t="s">
        <v>4</v>
      </c>
      <c r="N28" s="77"/>
      <c r="O28" s="77"/>
      <c r="P28" s="78"/>
      <c r="Q28" s="206"/>
      <c r="T28" s="198"/>
      <c r="U28" s="198"/>
    </row>
    <row r="29" spans="2:21" hidden="1" x14ac:dyDescent="0.25">
      <c r="B29" s="207" t="s">
        <v>67</v>
      </c>
      <c r="C29" s="157">
        <v>0</v>
      </c>
      <c r="D29" s="54" t="str">
        <f t="shared" si="1"/>
        <v>Extra Small</v>
      </c>
      <c r="E29" s="160">
        <v>6.8141679999999996E-2</v>
      </c>
      <c r="F29" s="160">
        <v>0.16600000000000001</v>
      </c>
      <c r="G29" s="160">
        <v>0.1300198979619499</v>
      </c>
      <c r="H29" s="163">
        <v>0.28730761886047818</v>
      </c>
      <c r="I29" s="36">
        <v>0.17499999999999999</v>
      </c>
      <c r="J29" s="160">
        <v>8.6174325107355759E-2</v>
      </c>
      <c r="K29" s="160">
        <v>2.5791358183192822E-2</v>
      </c>
      <c r="L29" s="82">
        <v>4024080</v>
      </c>
      <c r="M29" s="77" t="s">
        <v>4</v>
      </c>
      <c r="N29" s="77"/>
      <c r="O29" s="77"/>
      <c r="P29" s="78"/>
      <c r="Q29" s="206" t="s">
        <v>147</v>
      </c>
      <c r="T29" s="198"/>
      <c r="U29" s="198"/>
    </row>
    <row r="30" spans="2:21" hidden="1" x14ac:dyDescent="0.25">
      <c r="B30" s="207" t="s">
        <v>68</v>
      </c>
      <c r="C30" s="157">
        <v>0</v>
      </c>
      <c r="D30" s="54" t="str">
        <f t="shared" si="1"/>
        <v>Extra Small</v>
      </c>
      <c r="E30" s="160">
        <v>9.7818940000000007E-2</v>
      </c>
      <c r="F30" s="160">
        <v>0.21299999999999999</v>
      </c>
      <c r="G30" s="160">
        <v>0.11814707295169274</v>
      </c>
      <c r="H30" s="163">
        <v>0.28095601322145947</v>
      </c>
      <c r="I30" s="36">
        <v>0.376</v>
      </c>
      <c r="J30" s="160">
        <v>9.4152142042677966E-2</v>
      </c>
      <c r="K30" s="160">
        <v>1.9758771929824562E-2</v>
      </c>
      <c r="L30" s="82">
        <v>1458472</v>
      </c>
      <c r="M30" s="77" t="s">
        <v>4</v>
      </c>
      <c r="N30" s="77"/>
      <c r="O30" s="77"/>
      <c r="P30" s="78"/>
      <c r="Q30" s="206"/>
      <c r="T30" s="198"/>
      <c r="U30" s="198"/>
    </row>
    <row r="31" spans="2:21" hidden="1" x14ac:dyDescent="0.25">
      <c r="B31" s="207" t="s">
        <v>69</v>
      </c>
      <c r="C31" s="157">
        <v>0</v>
      </c>
      <c r="D31" s="54" t="str">
        <f t="shared" si="1"/>
        <v>Extra Small</v>
      </c>
      <c r="E31" s="160">
        <v>7.4680110000000008E-2</v>
      </c>
      <c r="F31" s="160">
        <v>0.18100000000000002</v>
      </c>
      <c r="G31" s="160">
        <v>9.5881826320501337E-2</v>
      </c>
      <c r="H31" s="163">
        <v>0.25578581775085596</v>
      </c>
      <c r="I31" s="36">
        <v>0.316</v>
      </c>
      <c r="J31" s="160">
        <v>0.10089543820066277</v>
      </c>
      <c r="K31" s="160">
        <v>2.4106299860542066E-2</v>
      </c>
      <c r="L31" s="82">
        <v>1327242</v>
      </c>
      <c r="M31" s="77" t="s">
        <v>4</v>
      </c>
      <c r="N31" s="77"/>
      <c r="O31" s="77"/>
      <c r="P31" s="78"/>
      <c r="Q31" s="206" t="s">
        <v>147</v>
      </c>
      <c r="T31" s="198"/>
      <c r="U31" s="198"/>
    </row>
    <row r="32" spans="2:21" x14ac:dyDescent="0.25">
      <c r="B32" s="18" t="s">
        <v>70</v>
      </c>
      <c r="C32" s="157">
        <v>32105</v>
      </c>
      <c r="D32" s="54" t="str">
        <f t="shared" si="1"/>
        <v>Small</v>
      </c>
      <c r="E32" s="160">
        <v>7.7298069999999997E-2</v>
      </c>
      <c r="F32" s="160">
        <v>0.27100000000000002</v>
      </c>
      <c r="G32" s="160">
        <v>0.10926357990207354</v>
      </c>
      <c r="H32" s="163">
        <v>0.36521673972500096</v>
      </c>
      <c r="I32" s="36">
        <v>0.48399999999999999</v>
      </c>
      <c r="J32" s="160">
        <v>0.1910630959626699</v>
      </c>
      <c r="K32" s="160">
        <v>7.8250132298465336E-2</v>
      </c>
      <c r="L32" s="82">
        <v>474185</v>
      </c>
      <c r="M32" s="77" t="s">
        <v>4</v>
      </c>
      <c r="N32" s="77"/>
      <c r="O32" s="77"/>
      <c r="P32" s="78"/>
      <c r="Q32" s="206"/>
      <c r="T32" s="198"/>
      <c r="U32" s="198"/>
    </row>
    <row r="33" spans="2:21" hidden="1" x14ac:dyDescent="0.25">
      <c r="B33" s="207" t="s">
        <v>71</v>
      </c>
      <c r="C33" s="157">
        <v>0</v>
      </c>
      <c r="D33" s="54" t="str">
        <f t="shared" si="1"/>
        <v>Extra Small</v>
      </c>
      <c r="E33" s="160">
        <v>6.3607510000000006E-2</v>
      </c>
      <c r="F33" s="160">
        <v>0.192</v>
      </c>
      <c r="G33" s="160">
        <v>0.18943058175608621</v>
      </c>
      <c r="H33" s="163">
        <v>0.27417406553517121</v>
      </c>
      <c r="I33" s="36">
        <v>0.13100000000000001</v>
      </c>
      <c r="J33" s="160">
        <v>0.14741470645743621</v>
      </c>
      <c r="K33" s="160">
        <v>0.10408129343246751</v>
      </c>
      <c r="L33" s="82">
        <v>4647307</v>
      </c>
      <c r="M33" s="77" t="s">
        <v>4</v>
      </c>
      <c r="N33" s="77"/>
      <c r="O33" s="77"/>
      <c r="P33" s="78"/>
      <c r="Q33" s="206" t="s">
        <v>147</v>
      </c>
      <c r="T33" s="198"/>
      <c r="U33" s="198"/>
    </row>
    <row r="34" spans="2:21" x14ac:dyDescent="0.25">
      <c r="B34" s="18" t="s">
        <v>72</v>
      </c>
      <c r="C34" s="157">
        <v>12825</v>
      </c>
      <c r="D34" s="54" t="str">
        <f t="shared" si="1"/>
        <v>Extra Small</v>
      </c>
      <c r="E34" s="160">
        <v>6.6599549999999993E-2</v>
      </c>
      <c r="F34" s="160">
        <v>0.312</v>
      </c>
      <c r="G34" s="160">
        <v>0.11404369148461882</v>
      </c>
      <c r="H34" s="163">
        <v>0.29377013963480131</v>
      </c>
      <c r="I34" s="36">
        <v>0.45900000000000002</v>
      </c>
      <c r="J34" s="160">
        <v>0.24689265536723165</v>
      </c>
      <c r="K34" s="160">
        <v>0.15267839876232836</v>
      </c>
      <c r="L34" s="82">
        <v>712823</v>
      </c>
      <c r="M34" s="77" t="s">
        <v>4</v>
      </c>
      <c r="N34" s="77"/>
      <c r="O34" s="77"/>
      <c r="P34" s="78"/>
      <c r="Q34" s="206"/>
      <c r="T34" s="198"/>
      <c r="U34" s="198"/>
    </row>
    <row r="35" spans="2:21" hidden="1" x14ac:dyDescent="0.25">
      <c r="B35" s="207" t="s">
        <v>73</v>
      </c>
      <c r="C35" s="157">
        <v>0</v>
      </c>
      <c r="D35" s="54" t="str">
        <f t="shared" si="1"/>
        <v>Extra Small</v>
      </c>
      <c r="E35" s="160">
        <v>6.2221129999999999E-2</v>
      </c>
      <c r="F35" s="160">
        <v>0.161</v>
      </c>
      <c r="G35" s="160">
        <v>0.22188526345181289</v>
      </c>
      <c r="H35" s="163">
        <v>0.23381795591069882</v>
      </c>
      <c r="I35" s="36">
        <v>1.2999999999999999E-2</v>
      </c>
      <c r="J35" s="160">
        <v>8.7056662281201555E-2</v>
      </c>
      <c r="K35" s="160">
        <v>8.4254448034793039E-2</v>
      </c>
      <c r="L35" s="82">
        <v>25329190</v>
      </c>
      <c r="M35" s="77" t="s">
        <v>4</v>
      </c>
      <c r="N35" s="77"/>
      <c r="O35" s="77"/>
      <c r="P35" s="78"/>
      <c r="Q35" s="206" t="s">
        <v>147</v>
      </c>
      <c r="T35" s="198"/>
      <c r="U35" s="198"/>
    </row>
    <row r="36" spans="2:21" x14ac:dyDescent="0.25">
      <c r="B36" s="46" t="s">
        <v>84</v>
      </c>
      <c r="C36" s="51">
        <f>C20+C38+C43</f>
        <v>31080</v>
      </c>
      <c r="D36" s="51" t="str">
        <f t="shared" si="1"/>
        <v>Small</v>
      </c>
      <c r="E36" s="52">
        <v>8.1669599999999995E-2</v>
      </c>
      <c r="F36" s="52">
        <v>0.13800000000000001</v>
      </c>
      <c r="G36" s="52">
        <v>0.11961331608686772</v>
      </c>
      <c r="H36" s="180">
        <v>0.23854671280276818</v>
      </c>
      <c r="I36" s="52">
        <v>0.41499999999999998</v>
      </c>
      <c r="J36" s="52">
        <v>0.13515598630599354</v>
      </c>
      <c r="K36" s="52">
        <v>5.4470336679592647E-2</v>
      </c>
      <c r="L36" s="192">
        <v>772441</v>
      </c>
      <c r="M36" s="190" t="s">
        <v>4</v>
      </c>
      <c r="N36" s="190"/>
      <c r="O36" s="190"/>
      <c r="P36" s="191"/>
      <c r="Q36" s="206"/>
    </row>
    <row r="37" spans="2:21" x14ac:dyDescent="0.25">
      <c r="B37" s="18" t="s">
        <v>74</v>
      </c>
      <c r="C37" s="157">
        <v>83805</v>
      </c>
      <c r="D37" s="54" t="str">
        <f t="shared" si="1"/>
        <v>Medium</v>
      </c>
      <c r="E37" s="160">
        <v>6.0078370000000006E-2</v>
      </c>
      <c r="F37" s="160">
        <v>0.183</v>
      </c>
      <c r="G37" s="160">
        <v>0.12019354759477814</v>
      </c>
      <c r="H37" s="163">
        <v>0.23463420155701728</v>
      </c>
      <c r="I37" s="36">
        <v>0.19900000000000001</v>
      </c>
      <c r="J37" s="160">
        <v>9.566050387968196E-2</v>
      </c>
      <c r="K37" s="160">
        <v>5.112740819862184E-2</v>
      </c>
      <c r="L37" s="82">
        <v>291010</v>
      </c>
      <c r="M37" s="77" t="s">
        <v>4</v>
      </c>
      <c r="N37" s="77"/>
      <c r="O37" s="77"/>
      <c r="P37" s="78"/>
      <c r="Q37" s="206"/>
      <c r="T37" s="198"/>
      <c r="U37" s="198"/>
    </row>
    <row r="38" spans="2:21" x14ac:dyDescent="0.25">
      <c r="B38" s="27" t="s">
        <v>91</v>
      </c>
      <c r="C38" s="51">
        <v>1795</v>
      </c>
      <c r="D38" s="51" t="str">
        <f t="shared" si="1"/>
        <v>Extra Small</v>
      </c>
      <c r="E38" s="52"/>
      <c r="F38" s="52"/>
      <c r="G38" s="52">
        <v>4.5482866043613707E-2</v>
      </c>
      <c r="H38" s="180">
        <v>0.22423485321673953</v>
      </c>
      <c r="I38" s="52"/>
      <c r="J38" s="52">
        <v>8.6429725363489501E-2</v>
      </c>
      <c r="K38" s="52">
        <v>2.5974025974025974E-3</v>
      </c>
      <c r="L38" s="192"/>
      <c r="M38" s="190"/>
      <c r="N38" s="190"/>
      <c r="O38" s="190"/>
      <c r="P38" s="191"/>
      <c r="Q38" s="206"/>
      <c r="T38" s="198"/>
      <c r="U38" s="198"/>
    </row>
    <row r="39" spans="2:21" x14ac:dyDescent="0.25">
      <c r="B39" s="18" t="s">
        <v>75</v>
      </c>
      <c r="C39" s="157">
        <v>26530</v>
      </c>
      <c r="D39" s="54" t="str">
        <f t="shared" si="1"/>
        <v>Small</v>
      </c>
      <c r="E39" s="160">
        <v>8.2220169999999995E-2</v>
      </c>
      <c r="F39" s="160">
        <v>0.16899999999999998</v>
      </c>
      <c r="G39" s="160">
        <v>7.5088203712225798E-2</v>
      </c>
      <c r="H39" s="163">
        <v>0.25437453094758461</v>
      </c>
      <c r="I39" s="36">
        <v>0.69599999999999995</v>
      </c>
      <c r="J39" s="160">
        <v>9.6828904764352158E-2</v>
      </c>
      <c r="K39" s="160">
        <v>3.1383278345537939E-2</v>
      </c>
      <c r="L39" s="82">
        <v>119798</v>
      </c>
      <c r="M39" s="77" t="s">
        <v>4</v>
      </c>
      <c r="N39" s="77"/>
      <c r="O39" s="77"/>
      <c r="P39" s="78"/>
      <c r="Q39" s="206"/>
      <c r="T39" s="198"/>
      <c r="U39" s="198"/>
    </row>
    <row r="40" spans="2:21" x14ac:dyDescent="0.25">
      <c r="B40" s="18" t="s">
        <v>76</v>
      </c>
      <c r="C40" s="157">
        <v>81495</v>
      </c>
      <c r="D40" s="54" t="str">
        <f t="shared" si="1"/>
        <v>Medium</v>
      </c>
      <c r="E40" s="160">
        <v>7.0862040000000001E-2</v>
      </c>
      <c r="F40" s="160">
        <v>0.184</v>
      </c>
      <c r="G40" s="160">
        <v>0.14515331998231423</v>
      </c>
      <c r="H40" s="163">
        <v>0.2947186267045061</v>
      </c>
      <c r="I40" s="36">
        <v>0.29099999999999998</v>
      </c>
      <c r="J40" s="160">
        <v>0.1782276866667995</v>
      </c>
      <c r="K40" s="160">
        <v>0.10513829579390996</v>
      </c>
      <c r="L40" s="82">
        <v>532317</v>
      </c>
      <c r="M40" s="77" t="s">
        <v>4</v>
      </c>
      <c r="N40" s="77"/>
      <c r="O40" s="77"/>
      <c r="P40" s="78"/>
      <c r="Q40" s="206"/>
      <c r="T40" s="198"/>
      <c r="U40" s="198"/>
    </row>
    <row r="41" spans="2:21" x14ac:dyDescent="0.25">
      <c r="B41" s="18" t="s">
        <v>77</v>
      </c>
      <c r="C41" s="157">
        <v>26840</v>
      </c>
      <c r="D41" s="54" t="str">
        <f t="shared" si="1"/>
        <v>Small</v>
      </c>
      <c r="E41" s="160">
        <v>7.7874589999999994E-2</v>
      </c>
      <c r="F41" s="160">
        <v>0.106</v>
      </c>
      <c r="G41" s="160">
        <v>7.9414476717381277E-2</v>
      </c>
      <c r="H41" s="163">
        <v>0.30462135000395663</v>
      </c>
      <c r="I41" s="36">
        <v>0.42099999999999999</v>
      </c>
      <c r="J41" s="160">
        <v>7.6918634867471275E-2</v>
      </c>
      <c r="K41" s="160">
        <v>1.6070990431013329E-2</v>
      </c>
      <c r="L41" s="82">
        <v>153290</v>
      </c>
      <c r="M41" s="77" t="s">
        <v>4</v>
      </c>
      <c r="N41" s="77"/>
      <c r="O41" s="77"/>
      <c r="P41" s="78"/>
      <c r="Q41" s="206"/>
      <c r="T41" s="198"/>
      <c r="U41" s="198"/>
    </row>
    <row r="42" spans="2:21" hidden="1" x14ac:dyDescent="0.25">
      <c r="B42" s="207" t="s">
        <v>78</v>
      </c>
      <c r="C42" s="157">
        <v>0</v>
      </c>
      <c r="D42" s="54" t="str">
        <f t="shared" si="1"/>
        <v>Extra Small</v>
      </c>
      <c r="E42" s="160">
        <v>6.8052559999999998E-2</v>
      </c>
      <c r="F42" s="160">
        <v>0.14899999999999999</v>
      </c>
      <c r="G42" s="160">
        <v>4.9393414211438474E-2</v>
      </c>
      <c r="H42" s="163">
        <v>0.25040316669110102</v>
      </c>
      <c r="I42" s="36">
        <v>1</v>
      </c>
      <c r="J42" s="160">
        <v>7.5023041474654384E-2</v>
      </c>
      <c r="K42" s="160">
        <v>1.0912397696271597E-2</v>
      </c>
      <c r="L42" s="82">
        <v>0</v>
      </c>
      <c r="M42" s="77" t="s">
        <v>4</v>
      </c>
      <c r="N42" s="77"/>
      <c r="O42" s="77"/>
      <c r="P42" s="78"/>
      <c r="Q42" s="206" t="s">
        <v>147</v>
      </c>
      <c r="T42" s="198"/>
      <c r="U42" s="198"/>
    </row>
    <row r="43" spans="2:21" x14ac:dyDescent="0.25">
      <c r="B43" s="27" t="s">
        <v>92</v>
      </c>
      <c r="C43" s="51">
        <v>27295</v>
      </c>
      <c r="D43" s="51" t="str">
        <f t="shared" si="1"/>
        <v>Small</v>
      </c>
      <c r="E43" s="52"/>
      <c r="F43" s="52"/>
      <c r="G43" s="52">
        <v>0.12785123327920822</v>
      </c>
      <c r="H43" s="180">
        <v>0.23915268918812504</v>
      </c>
      <c r="I43" s="52"/>
      <c r="J43" s="52">
        <v>0.1415831163795491</v>
      </c>
      <c r="K43" s="52">
        <v>5.9799430481614464E-2</v>
      </c>
      <c r="L43" s="192"/>
      <c r="M43" s="190"/>
      <c r="N43" s="190"/>
      <c r="O43" s="190"/>
      <c r="P43" s="191"/>
      <c r="Q43" s="206"/>
      <c r="T43" s="198"/>
      <c r="U43" s="198"/>
    </row>
    <row r="44" spans="2:21" hidden="1" x14ac:dyDescent="0.25">
      <c r="B44" s="207" t="s">
        <v>79</v>
      </c>
      <c r="C44" s="157">
        <v>0</v>
      </c>
      <c r="D44" s="54" t="str">
        <f t="shared" si="1"/>
        <v>Extra Small</v>
      </c>
      <c r="E44" s="160">
        <v>4.2650979999999998E-2</v>
      </c>
      <c r="F44" s="160">
        <v>0.151</v>
      </c>
      <c r="G44" s="160">
        <v>0.2386094692353834</v>
      </c>
      <c r="H44" s="163">
        <v>0.16330220782308263</v>
      </c>
      <c r="I44" s="36">
        <v>5.6000000000000001E-2</v>
      </c>
      <c r="J44" s="160">
        <v>8.3950044504063362E-2</v>
      </c>
      <c r="K44" s="160">
        <v>9.0625859571268771E-2</v>
      </c>
      <c r="L44" s="82">
        <v>8674852</v>
      </c>
      <c r="M44" s="77" t="s">
        <v>4</v>
      </c>
      <c r="N44" s="77"/>
      <c r="O44" s="77"/>
      <c r="P44" s="78"/>
      <c r="Q44" s="206" t="s">
        <v>147</v>
      </c>
      <c r="T44" s="198"/>
      <c r="U44" s="198"/>
    </row>
    <row r="45" spans="2:21" x14ac:dyDescent="0.25">
      <c r="B45" s="18" t="s">
        <v>80</v>
      </c>
      <c r="C45" s="157">
        <v>1440</v>
      </c>
      <c r="D45" s="54" t="str">
        <f t="shared" si="1"/>
        <v>Extra Small</v>
      </c>
      <c r="E45" s="160">
        <v>6.5306119999999995E-2</v>
      </c>
      <c r="F45" s="160">
        <v>0.33399999999999996</v>
      </c>
      <c r="G45" s="160">
        <v>6.1711079943899017E-2</v>
      </c>
      <c r="H45" s="163">
        <v>0.3383084577114428</v>
      </c>
      <c r="I45" s="36">
        <v>1</v>
      </c>
      <c r="J45" s="160">
        <v>7.9234972677595633E-2</v>
      </c>
      <c r="K45" s="160">
        <v>7.3637702503681884E-4</v>
      </c>
      <c r="L45" s="82">
        <v>6791</v>
      </c>
      <c r="M45" s="77" t="s">
        <v>4</v>
      </c>
      <c r="N45" s="77"/>
      <c r="O45" s="77"/>
      <c r="P45" s="78"/>
      <c r="Q45" s="206"/>
      <c r="T45" s="198"/>
      <c r="U45" s="198"/>
    </row>
    <row r="46" spans="2:21" x14ac:dyDescent="0.25">
      <c r="B46" s="19" t="s">
        <v>81</v>
      </c>
      <c r="C46" s="158">
        <v>108605</v>
      </c>
      <c r="D46" s="55" t="str">
        <f t="shared" si="1"/>
        <v>Medium</v>
      </c>
      <c r="E46" s="161">
        <v>6.2846349999999995E-2</v>
      </c>
      <c r="F46" s="161">
        <v>0.184</v>
      </c>
      <c r="G46" s="161">
        <v>0.11686572914659989</v>
      </c>
      <c r="H46" s="164">
        <v>0.21567317522496532</v>
      </c>
      <c r="I46" s="37">
        <v>0.22600000000000001</v>
      </c>
      <c r="J46" s="161">
        <v>0.11749373577949944</v>
      </c>
      <c r="K46" s="161">
        <v>5.2806933273375781E-2</v>
      </c>
      <c r="L46" s="83">
        <v>1553242</v>
      </c>
      <c r="M46" s="79" t="s">
        <v>4</v>
      </c>
      <c r="N46" s="79"/>
      <c r="O46" s="79"/>
      <c r="P46" s="80"/>
      <c r="Q46" s="206"/>
      <c r="T46" s="198"/>
      <c r="U46" s="198"/>
    </row>
    <row r="47" spans="2:21" ht="15.75" thickBot="1" x14ac:dyDescent="0.3">
      <c r="C47" s="16">
        <f>SUM(C10:C46)-C36</f>
        <v>940705</v>
      </c>
      <c r="D47" s="49"/>
    </row>
    <row r="48" spans="2:21" ht="15.75" thickTop="1" x14ac:dyDescent="0.25"/>
    <row r="49" spans="11:11" x14ac:dyDescent="0.25">
      <c r="K49" s="38"/>
    </row>
    <row r="50" spans="11:11" x14ac:dyDescent="0.25">
      <c r="K50" s="38"/>
    </row>
    <row r="51" spans="11:11" x14ac:dyDescent="0.25">
      <c r="K51" s="38"/>
    </row>
    <row r="52" spans="11:11" x14ac:dyDescent="0.25">
      <c r="K52" s="38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1"/>
  <sheetViews>
    <sheetView topLeftCell="A10" workbookViewId="0">
      <selection activeCell="C40" sqref="C40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customWidth="1"/>
    <col min="5" max="5" width="14.140625" customWidth="1"/>
    <col min="6" max="6" width="10" bestFit="1" customWidth="1"/>
    <col min="7" max="7" width="13.5703125" bestFit="1" customWidth="1"/>
  </cols>
  <sheetData>
    <row r="3" spans="2:6" x14ac:dyDescent="0.25">
      <c r="B3" t="s">
        <v>0</v>
      </c>
      <c r="C3" s="1">
        <f>'County Data'!C5</f>
        <v>2000000</v>
      </c>
    </row>
    <row r="4" spans="2:6" x14ac:dyDescent="0.25">
      <c r="B4" t="s">
        <v>41</v>
      </c>
      <c r="C4" s="14">
        <f>'County Data'!C9</f>
        <v>0</v>
      </c>
    </row>
    <row r="6" spans="2:6" s="2" customFormat="1" ht="30" x14ac:dyDescent="0.25">
      <c r="B6" s="3" t="s">
        <v>7</v>
      </c>
      <c r="C6" s="3" t="s">
        <v>1</v>
      </c>
      <c r="D6" s="3" t="s">
        <v>3</v>
      </c>
      <c r="E6" s="13" t="s">
        <v>13</v>
      </c>
      <c r="F6" s="3" t="s">
        <v>6</v>
      </c>
    </row>
    <row r="7" spans="2:6" x14ac:dyDescent="0.25">
      <c r="B7" s="20" t="str">
        <f>+'County Data'!$B$10</f>
        <v>Baker</v>
      </c>
      <c r="C7" s="15">
        <f>VLOOKUP($B7,'County Data'!$B$10:$P$46,2,FALSE)</f>
        <v>16910</v>
      </c>
      <c r="D7" s="6">
        <f t="shared" ref="D7:D40" si="0">C7/$C$41</f>
        <v>1.7975879792283447E-2</v>
      </c>
      <c r="E7" s="14">
        <f t="shared" ref="E7:E40" si="1">$C$4*D7</f>
        <v>0</v>
      </c>
      <c r="F7" s="10">
        <f t="shared" ref="F7:F40" si="2">E7/C7</f>
        <v>0</v>
      </c>
    </row>
    <row r="8" spans="2:6" x14ac:dyDescent="0.25">
      <c r="B8" s="20" t="str">
        <f>+'County Data'!$B$19</f>
        <v>Douglas</v>
      </c>
      <c r="C8" s="15">
        <f>VLOOKUP($B8,'County Data'!$B$10:$P$46,2,FALSE)</f>
        <v>112530</v>
      </c>
      <c r="D8" s="6">
        <f t="shared" si="0"/>
        <v>0.1196230486709436</v>
      </c>
      <c r="E8" s="14">
        <f t="shared" si="1"/>
        <v>0</v>
      </c>
      <c r="F8" s="10">
        <f t="shared" si="2"/>
        <v>0</v>
      </c>
    </row>
    <row r="9" spans="2:6" x14ac:dyDescent="0.25">
      <c r="B9" s="20" t="str">
        <f>+'County Data'!$B$23</f>
        <v>Hood River</v>
      </c>
      <c r="C9" s="15">
        <f>VLOOKUP($B9,'County Data'!$B$10:$P$46,2,FALSE)</f>
        <v>25640</v>
      </c>
      <c r="D9" s="6">
        <f t="shared" si="0"/>
        <v>2.7256153629458758E-2</v>
      </c>
      <c r="E9" s="14">
        <f t="shared" si="1"/>
        <v>0</v>
      </c>
      <c r="F9" s="10">
        <f t="shared" si="2"/>
        <v>0</v>
      </c>
    </row>
    <row r="10" spans="2:6" x14ac:dyDescent="0.25">
      <c r="B10" s="20" t="str">
        <f>+'County Data'!$B$24</f>
        <v>Jackson</v>
      </c>
      <c r="C10" s="15">
        <v>0</v>
      </c>
      <c r="D10" s="6">
        <f t="shared" si="0"/>
        <v>0</v>
      </c>
      <c r="E10" s="14">
        <f t="shared" si="1"/>
        <v>0</v>
      </c>
      <c r="F10" s="10" t="e">
        <f t="shared" si="2"/>
        <v>#DIV/0!</v>
      </c>
    </row>
    <row r="11" spans="2:6" x14ac:dyDescent="0.25">
      <c r="B11" s="20" t="str">
        <f>+'County Data'!$B$25</f>
        <v>Jefferson</v>
      </c>
      <c r="C11" s="15">
        <f>VLOOKUP($B11,'County Data'!$B$10:$P$46,2,FALSE)</f>
        <v>24105</v>
      </c>
      <c r="D11" s="6">
        <f t="shared" si="0"/>
        <v>2.5624398722234921E-2</v>
      </c>
      <c r="E11" s="14">
        <f t="shared" si="1"/>
        <v>0</v>
      </c>
      <c r="F11" s="10">
        <f t="shared" si="2"/>
        <v>0</v>
      </c>
    </row>
    <row r="12" spans="2:6" x14ac:dyDescent="0.25">
      <c r="B12" s="20" t="str">
        <f>+'County Data'!$B$26</f>
        <v>Josephine</v>
      </c>
      <c r="C12" s="15">
        <f>VLOOKUP($B12,'County Data'!$B$10:$P$46,2,FALSE)</f>
        <v>86560</v>
      </c>
      <c r="D12" s="6">
        <f t="shared" si="0"/>
        <v>9.2016094312244542E-2</v>
      </c>
      <c r="E12" s="14">
        <f t="shared" si="1"/>
        <v>0</v>
      </c>
      <c r="F12" s="10">
        <f t="shared" si="2"/>
        <v>0</v>
      </c>
    </row>
    <row r="13" spans="2:6" x14ac:dyDescent="0.25">
      <c r="B13" s="20" t="str">
        <f>+'County Data'!$B$27</f>
        <v>Klamath</v>
      </c>
      <c r="C13" s="15">
        <f>VLOOKUP($B13,'County Data'!$B$10:$P$46,2,FALSE)</f>
        <v>68075</v>
      </c>
      <c r="D13" s="6">
        <f t="shared" si="0"/>
        <v>7.236593831222328E-2</v>
      </c>
      <c r="E13" s="14">
        <f t="shared" si="1"/>
        <v>0</v>
      </c>
      <c r="F13" s="10">
        <f t="shared" si="2"/>
        <v>0</v>
      </c>
    </row>
    <row r="14" spans="2:6" x14ac:dyDescent="0.25">
      <c r="B14" s="20" t="str">
        <f>+'County Data'!$B$29</f>
        <v>Lane</v>
      </c>
      <c r="C14" s="15">
        <v>0</v>
      </c>
      <c r="D14" s="6">
        <f t="shared" si="0"/>
        <v>0</v>
      </c>
      <c r="E14" s="14">
        <f t="shared" si="1"/>
        <v>0</v>
      </c>
      <c r="F14" s="10" t="e">
        <f t="shared" si="2"/>
        <v>#DIV/0!</v>
      </c>
    </row>
    <row r="15" spans="2:6" x14ac:dyDescent="0.25">
      <c r="B15" s="20" t="str">
        <f>+'County Data'!$B$11</f>
        <v>Benton</v>
      </c>
      <c r="C15" s="15">
        <v>0</v>
      </c>
      <c r="D15" s="6">
        <f t="shared" si="0"/>
        <v>0</v>
      </c>
      <c r="E15" s="14">
        <f t="shared" si="1"/>
        <v>0</v>
      </c>
      <c r="F15" s="10" t="e">
        <f t="shared" si="2"/>
        <v>#DIV/0!</v>
      </c>
    </row>
    <row r="16" spans="2:6" x14ac:dyDescent="0.25">
      <c r="B16" s="20" t="str">
        <f>+'County Data'!$B$30</f>
        <v>Lincoln</v>
      </c>
      <c r="C16" s="15">
        <v>0</v>
      </c>
      <c r="D16" s="6">
        <f t="shared" si="0"/>
        <v>0</v>
      </c>
      <c r="E16" s="14">
        <f t="shared" si="1"/>
        <v>0</v>
      </c>
      <c r="F16" s="10" t="e">
        <f t="shared" si="2"/>
        <v>#DIV/0!</v>
      </c>
    </row>
    <row r="17" spans="2:6" x14ac:dyDescent="0.25">
      <c r="B17" s="20" t="str">
        <f>+'County Data'!$B$31</f>
        <v>Linn</v>
      </c>
      <c r="C17" s="15">
        <v>0</v>
      </c>
      <c r="D17" s="6">
        <f t="shared" si="0"/>
        <v>0</v>
      </c>
      <c r="E17" s="14">
        <f t="shared" si="1"/>
        <v>0</v>
      </c>
      <c r="F17" s="10" t="e">
        <f t="shared" si="2"/>
        <v>#DIV/0!</v>
      </c>
    </row>
    <row r="18" spans="2:6" x14ac:dyDescent="0.25">
      <c r="B18" s="20" t="str">
        <f>+'County Data'!$B$32</f>
        <v>Malheur</v>
      </c>
      <c r="C18" s="15">
        <f>VLOOKUP($B18,'County Data'!$B$10:$P$46,2,FALSE)</f>
        <v>32105</v>
      </c>
      <c r="D18" s="6">
        <f t="shared" si="0"/>
        <v>3.4128658825030161E-2</v>
      </c>
      <c r="E18" s="14">
        <f t="shared" si="1"/>
        <v>0</v>
      </c>
      <c r="F18" s="10">
        <f t="shared" si="2"/>
        <v>0</v>
      </c>
    </row>
    <row r="19" spans="2:6" x14ac:dyDescent="0.25">
      <c r="B19" s="20" t="str">
        <f>+'County Data'!$B$33</f>
        <v>Marion</v>
      </c>
      <c r="C19" s="15">
        <v>0</v>
      </c>
      <c r="D19" s="6">
        <f t="shared" si="0"/>
        <v>0</v>
      </c>
      <c r="E19" s="14">
        <f t="shared" si="1"/>
        <v>0</v>
      </c>
      <c r="F19" s="10" t="e">
        <f t="shared" si="2"/>
        <v>#DIV/0!</v>
      </c>
    </row>
    <row r="20" spans="2:6" x14ac:dyDescent="0.25">
      <c r="B20" s="20" t="str">
        <f>+'County Data'!$B$34</f>
        <v>Morrow</v>
      </c>
      <c r="C20" s="15">
        <f>VLOOKUP($B20,'County Data'!$B$10:$P$46,2,FALSE)</f>
        <v>12825</v>
      </c>
      <c r="D20" s="6">
        <f t="shared" si="0"/>
        <v>1.3633391977293626E-2</v>
      </c>
      <c r="E20" s="14">
        <f t="shared" si="1"/>
        <v>0</v>
      </c>
      <c r="F20" s="10">
        <f t="shared" si="2"/>
        <v>0</v>
      </c>
    </row>
    <row r="21" spans="2:6" x14ac:dyDescent="0.25">
      <c r="B21" s="20" t="str">
        <f>+'County Data'!$B$35</f>
        <v>Multnomah</v>
      </c>
      <c r="C21" s="15">
        <v>0</v>
      </c>
      <c r="D21" s="6">
        <f t="shared" si="0"/>
        <v>0</v>
      </c>
      <c r="E21" s="14">
        <f t="shared" si="1"/>
        <v>0</v>
      </c>
      <c r="F21" s="10" t="e">
        <f t="shared" si="2"/>
        <v>#DIV/0!</v>
      </c>
    </row>
    <row r="22" spans="2:6" x14ac:dyDescent="0.25">
      <c r="B22" s="20" t="str">
        <f>+'County Data'!$B$36</f>
        <v>Gilliam, Sherman, Wasco</v>
      </c>
      <c r="C22" s="15">
        <f>VLOOKUP($B22,'County Data'!$B$10:$P$46,2,FALSE)</f>
        <v>31080</v>
      </c>
      <c r="D22" s="6">
        <f t="shared" si="0"/>
        <v>3.3039050499359526E-2</v>
      </c>
      <c r="E22" s="14">
        <f t="shared" si="1"/>
        <v>0</v>
      </c>
      <c r="F22" s="10">
        <f t="shared" si="2"/>
        <v>0</v>
      </c>
    </row>
    <row r="23" spans="2:6" x14ac:dyDescent="0.25">
      <c r="B23" s="20" t="str">
        <f>+'County Data'!$B$37</f>
        <v>Polk</v>
      </c>
      <c r="C23" s="15">
        <f>VLOOKUP($B23,'County Data'!$B$10:$P$46,2,FALSE)</f>
        <v>83805</v>
      </c>
      <c r="D23" s="6">
        <f t="shared" si="0"/>
        <v>8.9087439739344423E-2</v>
      </c>
      <c r="E23" s="14">
        <f t="shared" si="1"/>
        <v>0</v>
      </c>
      <c r="F23" s="10">
        <f t="shared" si="2"/>
        <v>0</v>
      </c>
    </row>
    <row r="24" spans="2:6" x14ac:dyDescent="0.25">
      <c r="B24" s="20" t="str">
        <f>+'County Data'!$B$39</f>
        <v>Tillamook</v>
      </c>
      <c r="C24" s="15">
        <f>VLOOKUP($B24,'County Data'!$B$10:$P$46,2,FALSE)</f>
        <v>26530</v>
      </c>
      <c r="D24" s="6">
        <f t="shared" si="0"/>
        <v>2.8202252565894727E-2</v>
      </c>
      <c r="E24" s="14">
        <f t="shared" si="1"/>
        <v>0</v>
      </c>
      <c r="F24" s="10">
        <f t="shared" si="2"/>
        <v>0</v>
      </c>
    </row>
    <row r="25" spans="2:6" x14ac:dyDescent="0.25">
      <c r="B25" s="20" t="str">
        <f>+'County Data'!$B$40</f>
        <v>Umatilla</v>
      </c>
      <c r="C25" s="15">
        <f>VLOOKUP($B25,'County Data'!$B$10:$P$46,2,FALSE)</f>
        <v>81495</v>
      </c>
      <c r="D25" s="6">
        <f t="shared" si="0"/>
        <v>8.66318346346623E-2</v>
      </c>
      <c r="E25" s="14">
        <f t="shared" si="1"/>
        <v>0</v>
      </c>
      <c r="F25" s="10">
        <f t="shared" si="2"/>
        <v>0</v>
      </c>
    </row>
    <row r="26" spans="2:6" x14ac:dyDescent="0.25">
      <c r="B26" s="20" t="str">
        <f>+'County Data'!$B$12</f>
        <v>Clackamas</v>
      </c>
      <c r="C26" s="15">
        <v>0</v>
      </c>
      <c r="D26" s="6">
        <f t="shared" si="0"/>
        <v>0</v>
      </c>
      <c r="E26" s="14">
        <f t="shared" si="1"/>
        <v>0</v>
      </c>
      <c r="F26" s="10" t="e">
        <f t="shared" si="2"/>
        <v>#DIV/0!</v>
      </c>
    </row>
    <row r="27" spans="2:6" x14ac:dyDescent="0.25">
      <c r="B27" s="20" t="str">
        <f>+'County Data'!$B$41</f>
        <v>Union</v>
      </c>
      <c r="C27" s="15">
        <f>VLOOKUP($B27,'County Data'!$B$10:$P$46,2,FALSE)</f>
        <v>26840</v>
      </c>
      <c r="D27" s="6">
        <f t="shared" si="0"/>
        <v>2.8531792644878044E-2</v>
      </c>
      <c r="E27" s="14">
        <f t="shared" si="1"/>
        <v>0</v>
      </c>
      <c r="F27" s="10">
        <f t="shared" si="2"/>
        <v>0</v>
      </c>
    </row>
    <row r="28" spans="2:6" x14ac:dyDescent="0.25">
      <c r="B28" s="20" t="str">
        <f>+'County Data'!$B$44</f>
        <v>Washington</v>
      </c>
      <c r="C28" s="15">
        <v>0</v>
      </c>
      <c r="D28" s="6">
        <f t="shared" si="0"/>
        <v>0</v>
      </c>
      <c r="E28" s="14">
        <f t="shared" si="1"/>
        <v>0</v>
      </c>
      <c r="F28" s="10" t="e">
        <f t="shared" si="2"/>
        <v>#DIV/0!</v>
      </c>
    </row>
    <row r="29" spans="2:6" x14ac:dyDescent="0.25">
      <c r="B29" s="20" t="str">
        <f>+'County Data'!$B$46</f>
        <v>Yamhill</v>
      </c>
      <c r="C29" s="15">
        <f>VLOOKUP($B29,'County Data'!$B$10:$P$46,2,FALSE)</f>
        <v>108605</v>
      </c>
      <c r="D29" s="6">
        <f t="shared" si="0"/>
        <v>0.11545064605800968</v>
      </c>
      <c r="E29" s="14">
        <f t="shared" si="1"/>
        <v>0</v>
      </c>
      <c r="F29" s="10">
        <f t="shared" si="2"/>
        <v>0</v>
      </c>
    </row>
    <row r="30" spans="2:6" x14ac:dyDescent="0.25">
      <c r="B30" s="20" t="str">
        <f>+'County Data'!$B$13</f>
        <v>Clatsop</v>
      </c>
      <c r="C30" s="15">
        <f>VLOOKUP($B30,'County Data'!$B$10:$P$46,2,FALSE)</f>
        <v>39455</v>
      </c>
      <c r="D30" s="6">
        <f t="shared" si="0"/>
        <v>4.1941947794473293E-2</v>
      </c>
      <c r="E30" s="14">
        <f t="shared" si="1"/>
        <v>0</v>
      </c>
      <c r="F30" s="10">
        <f t="shared" si="2"/>
        <v>0</v>
      </c>
    </row>
    <row r="31" spans="2:6" x14ac:dyDescent="0.25">
      <c r="B31" s="20" t="str">
        <f>+'County Data'!$B$14</f>
        <v>Columbia</v>
      </c>
      <c r="C31" s="15">
        <f>VLOOKUP($B31,'County Data'!$B$10:$P$46,2,FALSE)</f>
        <v>53280</v>
      </c>
      <c r="D31" s="6">
        <f t="shared" si="0"/>
        <v>5.6638372284616323E-2</v>
      </c>
      <c r="E31" s="14">
        <f t="shared" si="1"/>
        <v>0</v>
      </c>
      <c r="F31" s="10">
        <f t="shared" si="2"/>
        <v>0</v>
      </c>
    </row>
    <row r="32" spans="2:6" x14ac:dyDescent="0.25">
      <c r="B32" s="20" t="str">
        <f>+'County Data'!$B$15</f>
        <v>Coos</v>
      </c>
      <c r="C32" s="15">
        <f>VLOOKUP($B32,'County Data'!$B$10:$P$46,2,FALSE)</f>
        <v>63315</v>
      </c>
      <c r="D32" s="6">
        <f t="shared" si="0"/>
        <v>6.7305903551060114E-2</v>
      </c>
      <c r="E32" s="14">
        <f t="shared" si="1"/>
        <v>0</v>
      </c>
      <c r="F32" s="10">
        <f t="shared" si="2"/>
        <v>0</v>
      </c>
    </row>
    <row r="33" spans="2:6" x14ac:dyDescent="0.25">
      <c r="B33" s="20" t="str">
        <f>+'County Data'!$B$16</f>
        <v>Crook</v>
      </c>
      <c r="C33" s="15">
        <f>VLOOKUP($B33,'County Data'!$B$10:$P$46,2,FALSE)</f>
        <v>23440</v>
      </c>
      <c r="D33" s="6">
        <f t="shared" si="0"/>
        <v>2.4917482101190064E-2</v>
      </c>
      <c r="E33" s="14">
        <f t="shared" si="1"/>
        <v>0</v>
      </c>
      <c r="F33" s="10">
        <f t="shared" si="2"/>
        <v>0</v>
      </c>
    </row>
    <row r="34" spans="2:6" x14ac:dyDescent="0.25">
      <c r="B34" s="20" t="str">
        <f>+'County Data'!$B$17</f>
        <v>Curry</v>
      </c>
      <c r="C34" s="15">
        <v>0</v>
      </c>
      <c r="D34" s="6">
        <f t="shared" si="0"/>
        <v>0</v>
      </c>
      <c r="E34" s="14">
        <f t="shared" si="1"/>
        <v>0</v>
      </c>
      <c r="F34" s="10" t="e">
        <f t="shared" si="2"/>
        <v>#DIV/0!</v>
      </c>
    </row>
    <row r="35" spans="2:6" x14ac:dyDescent="0.25">
      <c r="B35" s="20" t="str">
        <f>+'County Data'!$B$18</f>
        <v>Deschutes</v>
      </c>
      <c r="C35" s="15">
        <v>0</v>
      </c>
      <c r="D35" s="6">
        <f t="shared" si="0"/>
        <v>0</v>
      </c>
      <c r="E35" s="14">
        <f t="shared" si="1"/>
        <v>0</v>
      </c>
      <c r="F35" s="10" t="e">
        <f t="shared" si="2"/>
        <v>#DIV/0!</v>
      </c>
    </row>
    <row r="36" spans="2:6" x14ac:dyDescent="0.25">
      <c r="B36" s="20" t="str">
        <f>+'County Data'!$B$21</f>
        <v>Grant</v>
      </c>
      <c r="C36" s="15">
        <f>VLOOKUP($B36,'County Data'!$B$10:$P$46,2,FALSE)</f>
        <v>7315</v>
      </c>
      <c r="D36" s="6">
        <f t="shared" si="0"/>
        <v>7.7760828314934012E-3</v>
      </c>
      <c r="E36" s="14">
        <f t="shared" si="1"/>
        <v>0</v>
      </c>
      <c r="F36" s="10">
        <f t="shared" si="2"/>
        <v>0</v>
      </c>
    </row>
    <row r="37" spans="2:6" x14ac:dyDescent="0.25">
      <c r="B37" s="20" t="str">
        <f>+'County Data'!$B$22</f>
        <v>Harney</v>
      </c>
      <c r="C37" s="15">
        <f>VLOOKUP($B37,'County Data'!$B$10:$P$46,2,FALSE)</f>
        <v>7280</v>
      </c>
      <c r="D37" s="6">
        <f t="shared" si="0"/>
        <v>7.7388766935436717E-3</v>
      </c>
      <c r="E37" s="14">
        <f t="shared" si="1"/>
        <v>0</v>
      </c>
      <c r="F37" s="10">
        <f t="shared" si="2"/>
        <v>0</v>
      </c>
    </row>
    <row r="38" spans="2:6" x14ac:dyDescent="0.25">
      <c r="B38" s="20" t="str">
        <f>+'County Data'!$B$28</f>
        <v>Lake</v>
      </c>
      <c r="C38" s="15">
        <f>VLOOKUP($B38,'County Data'!$B$10:$P$46,2,FALSE)</f>
        <v>8075</v>
      </c>
      <c r="D38" s="6">
        <f t="shared" si="0"/>
        <v>8.5839875412589486E-3</v>
      </c>
      <c r="E38" s="14">
        <f t="shared" si="1"/>
        <v>0</v>
      </c>
      <c r="F38" s="10">
        <f t="shared" si="2"/>
        <v>0</v>
      </c>
    </row>
    <row r="39" spans="2:6" x14ac:dyDescent="0.25">
      <c r="B39" s="20" t="str">
        <f>+'County Data'!$B$42</f>
        <v>Wallowa</v>
      </c>
      <c r="C39" s="15">
        <v>0</v>
      </c>
      <c r="D39" s="6">
        <f t="shared" si="0"/>
        <v>0</v>
      </c>
      <c r="E39" s="14">
        <f t="shared" si="1"/>
        <v>0</v>
      </c>
      <c r="F39" s="10" t="e">
        <f t="shared" si="2"/>
        <v>#DIV/0!</v>
      </c>
    </row>
    <row r="40" spans="2:6" x14ac:dyDescent="0.25">
      <c r="B40" s="20" t="str">
        <f>'County Data'!$B$45</f>
        <v>Wheeler</v>
      </c>
      <c r="C40" s="15">
        <f>VLOOKUP($B40,'County Data'!$B$10:$P$46,2,FALSE)</f>
        <v>1440</v>
      </c>
      <c r="D40" s="6">
        <f t="shared" si="0"/>
        <v>1.530766818503144E-3</v>
      </c>
      <c r="E40" s="14">
        <f t="shared" si="1"/>
        <v>0</v>
      </c>
      <c r="F40" s="10">
        <f t="shared" si="2"/>
        <v>0</v>
      </c>
    </row>
    <row r="41" spans="2:6" x14ac:dyDescent="0.25">
      <c r="B41" s="4" t="s">
        <v>2</v>
      </c>
      <c r="C41" s="5">
        <f t="shared" ref="C41:D41" si="3">SUM(C7:C40)</f>
        <v>940705</v>
      </c>
      <c r="D41" s="8">
        <f t="shared" si="3"/>
        <v>1</v>
      </c>
      <c r="E41" s="11">
        <f>SUM(E7:E40)</f>
        <v>0</v>
      </c>
      <c r="F41" s="12">
        <f t="shared" ref="F41" si="4">E41/C41</f>
        <v>0</v>
      </c>
    </row>
  </sheetData>
  <sortState xmlns:xlrd2="http://schemas.microsoft.com/office/spreadsheetml/2017/richdata2" ref="B7:F40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T59"/>
  <sheetViews>
    <sheetView topLeftCell="A16" workbookViewId="0">
      <selection activeCell="Q13" sqref="Q13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12.140625" bestFit="1" customWidth="1"/>
    <col min="5" max="5" width="14.140625" customWidth="1"/>
    <col min="6" max="6" width="10" bestFit="1" customWidth="1"/>
    <col min="7" max="7" width="13.5703125" bestFit="1" customWidth="1"/>
    <col min="8" max="8" width="10.7109375" bestFit="1" customWidth="1"/>
    <col min="10" max="10" width="10.85546875" bestFit="1" customWidth="1"/>
  </cols>
  <sheetData>
    <row r="3" spans="2:20" x14ac:dyDescent="0.25">
      <c r="B3" t="s">
        <v>0</v>
      </c>
      <c r="C3" s="1">
        <f>'County Data'!C5</f>
        <v>2000000</v>
      </c>
    </row>
    <row r="4" spans="2:20" x14ac:dyDescent="0.25">
      <c r="B4" t="s">
        <v>41</v>
      </c>
      <c r="C4" s="14">
        <f>C3*Input!C6</f>
        <v>369000</v>
      </c>
    </row>
    <row r="6" spans="2:20" s="2" customFormat="1" ht="30" x14ac:dyDescent="0.25">
      <c r="B6" s="3" t="s">
        <v>7</v>
      </c>
      <c r="C6" s="3" t="s">
        <v>1</v>
      </c>
      <c r="D6" s="3" t="s">
        <v>89</v>
      </c>
      <c r="E6" s="13" t="s">
        <v>88</v>
      </c>
      <c r="F6" s="3" t="s">
        <v>6</v>
      </c>
      <c r="P6" s="2" t="s">
        <v>141</v>
      </c>
      <c r="Q6" s="2" t="s">
        <v>142</v>
      </c>
    </row>
    <row r="7" spans="2:20" x14ac:dyDescent="0.25">
      <c r="B7" s="20" t="str">
        <f>+'County Data'!$B$10</f>
        <v>Baker</v>
      </c>
      <c r="C7" s="15">
        <f>VLOOKUP($B7,'County Data'!$B$10:$P$46,2,FALSE)</f>
        <v>16910</v>
      </c>
      <c r="D7" s="15" t="str">
        <f>VLOOKUP($B7,'County Data'!$B$10:$P$46,3,FALSE)</f>
        <v>Extra Small</v>
      </c>
      <c r="E7" s="14">
        <f>VLOOKUP(D7,$H$7:$J$11,3,FALSE)</f>
        <v>10695.652173913044</v>
      </c>
      <c r="F7" s="10">
        <f t="shared" ref="F7:F42" si="0">E7/C7</f>
        <v>0.63250456380325515</v>
      </c>
      <c r="H7" t="s">
        <v>44</v>
      </c>
      <c r="I7" s="7">
        <f>Input!$C$7</f>
        <v>5.3478260869565218E-3</v>
      </c>
      <c r="J7" s="58">
        <f>$C$3*I7</f>
        <v>10695.652173913044</v>
      </c>
      <c r="N7">
        <v>8</v>
      </c>
      <c r="O7" t="s">
        <v>44</v>
      </c>
      <c r="P7">
        <v>8</v>
      </c>
      <c r="Q7">
        <v>1</v>
      </c>
      <c r="R7">
        <f>P7*Q7</f>
        <v>8</v>
      </c>
    </row>
    <row r="8" spans="2:20" x14ac:dyDescent="0.25">
      <c r="B8" s="20" t="str">
        <f>+'County Data'!$B$11</f>
        <v>Benton</v>
      </c>
      <c r="C8" s="15">
        <f>VLOOKUP($B8,'County Data'!$B$10:$P$46,2,FALSE)</f>
        <v>0</v>
      </c>
      <c r="D8" s="15" t="str">
        <f>VLOOKUP($B8,'County Data'!$B$10:$P$46,3,FALSE)</f>
        <v>Extra Small</v>
      </c>
      <c r="E8" s="14">
        <f t="shared" ref="E8:E42" si="1">VLOOKUP(D8,$H$7:$J$11,3,FALSE)</f>
        <v>10695.652173913044</v>
      </c>
      <c r="F8" s="10" t="e">
        <f t="shared" si="0"/>
        <v>#DIV/0!</v>
      </c>
      <c r="H8" t="s">
        <v>45</v>
      </c>
      <c r="I8" s="7">
        <f>Input!$C$8</f>
        <v>8.0217391304347827E-3</v>
      </c>
      <c r="J8" s="58">
        <f t="shared" ref="J8:J9" si="2">$C$3*I8</f>
        <v>16043.478260869566</v>
      </c>
      <c r="N8">
        <v>11</v>
      </c>
      <c r="O8" t="s">
        <v>45</v>
      </c>
      <c r="P8">
        <v>11</v>
      </c>
      <c r="Q8">
        <v>1.5</v>
      </c>
      <c r="R8">
        <f>P8*Q8</f>
        <v>16.5</v>
      </c>
    </row>
    <row r="9" spans="2:20" x14ac:dyDescent="0.25">
      <c r="B9" s="20" t="str">
        <f>+'County Data'!$B$12</f>
        <v>Clackamas</v>
      </c>
      <c r="C9" s="15">
        <f>VLOOKUP($B9,'County Data'!$B$10:$P$46,2,FALSE)</f>
        <v>0</v>
      </c>
      <c r="D9" s="15" t="str">
        <f>VLOOKUP($B9,'County Data'!$B$10:$P$46,3,FALSE)</f>
        <v>Extra Small</v>
      </c>
      <c r="E9" s="14">
        <f t="shared" si="1"/>
        <v>10695.652173913044</v>
      </c>
      <c r="F9" s="10" t="e">
        <f t="shared" si="0"/>
        <v>#DIV/0!</v>
      </c>
      <c r="H9" t="s">
        <v>46</v>
      </c>
      <c r="I9" s="7">
        <f>Input!$C$9</f>
        <v>1.0695652173913044E-2</v>
      </c>
      <c r="J9" s="58">
        <f t="shared" si="2"/>
        <v>21391.304347826088</v>
      </c>
      <c r="N9">
        <v>5</v>
      </c>
      <c r="O9" t="s">
        <v>46</v>
      </c>
      <c r="P9">
        <v>5</v>
      </c>
      <c r="Q9">
        <v>2</v>
      </c>
      <c r="R9">
        <f>P9*Q9</f>
        <v>10</v>
      </c>
    </row>
    <row r="10" spans="2:20" x14ac:dyDescent="0.25">
      <c r="B10" s="20" t="str">
        <f>+'County Data'!$B$13</f>
        <v>Clatsop</v>
      </c>
      <c r="C10" s="15">
        <f>VLOOKUP($B10,'County Data'!$B$10:$P$46,2,FALSE)</f>
        <v>39455</v>
      </c>
      <c r="D10" s="15" t="str">
        <f>VLOOKUP($B10,'County Data'!$B$10:$P$46,3,FALSE)</f>
        <v>Small</v>
      </c>
      <c r="E10" s="14">
        <f t="shared" si="1"/>
        <v>16043.478260869566</v>
      </c>
      <c r="F10" s="10">
        <f t="shared" si="0"/>
        <v>0.40662725284170742</v>
      </c>
      <c r="H10" t="s">
        <v>47</v>
      </c>
      <c r="I10" s="7">
        <f>Input!$C$10</f>
        <v>0</v>
      </c>
      <c r="J10" s="58">
        <v>0</v>
      </c>
      <c r="N10">
        <v>0</v>
      </c>
      <c r="O10" t="s">
        <v>47</v>
      </c>
      <c r="P10">
        <v>0</v>
      </c>
      <c r="Q10">
        <v>0</v>
      </c>
      <c r="R10">
        <v>0</v>
      </c>
    </row>
    <row r="11" spans="2:20" x14ac:dyDescent="0.25">
      <c r="B11" s="20" t="str">
        <f>+'County Data'!$B$14</f>
        <v>Columbia</v>
      </c>
      <c r="C11" s="15">
        <f>VLOOKUP($B11,'County Data'!$B$10:$P$46,2,FALSE)</f>
        <v>53280</v>
      </c>
      <c r="D11" s="15" t="str">
        <f>VLOOKUP($B11,'County Data'!$B$10:$P$46,3,FALSE)</f>
        <v>Small</v>
      </c>
      <c r="E11" s="14">
        <f t="shared" si="1"/>
        <v>16043.478260869566</v>
      </c>
      <c r="F11" s="10">
        <f t="shared" si="0"/>
        <v>0.30111633372502938</v>
      </c>
      <c r="H11" t="s">
        <v>48</v>
      </c>
      <c r="I11" s="7">
        <f>Input!$C$11</f>
        <v>0</v>
      </c>
      <c r="J11" s="58">
        <v>0</v>
      </c>
      <c r="N11">
        <v>0</v>
      </c>
      <c r="O11" t="s">
        <v>48</v>
      </c>
      <c r="P11">
        <v>0</v>
      </c>
      <c r="Q11">
        <v>0</v>
      </c>
      <c r="R11">
        <v>0</v>
      </c>
    </row>
    <row r="12" spans="2:20" x14ac:dyDescent="0.25">
      <c r="B12" s="20" t="str">
        <f>+'County Data'!$B$15</f>
        <v>Coos</v>
      </c>
      <c r="C12" s="15">
        <f>VLOOKUP($B12,'County Data'!$B$10:$P$46,2,FALSE)</f>
        <v>63315</v>
      </c>
      <c r="D12" s="15" t="str">
        <f>VLOOKUP($B12,'County Data'!$B$10:$P$46,3,FALSE)</f>
        <v>Small</v>
      </c>
      <c r="E12" s="14">
        <f t="shared" si="1"/>
        <v>16043.478260869566</v>
      </c>
      <c r="F12" s="10">
        <f t="shared" si="0"/>
        <v>0.25339142795340069</v>
      </c>
      <c r="R12">
        <f>SUM(R7:R11)</f>
        <v>34.5</v>
      </c>
      <c r="S12" s="197">
        <f>1/R12</f>
        <v>2.8985507246376812E-2</v>
      </c>
      <c r="T12" s="68" t="s">
        <v>143</v>
      </c>
    </row>
    <row r="13" spans="2:20" x14ac:dyDescent="0.25">
      <c r="B13" s="20" t="str">
        <f>+'County Data'!$B$16</f>
        <v>Crook</v>
      </c>
      <c r="C13" s="15">
        <f>VLOOKUP($B13,'County Data'!$B$10:$P$46,2,FALSE)</f>
        <v>23440</v>
      </c>
      <c r="D13" s="15" t="str">
        <f>VLOOKUP($B13,'County Data'!$B$10:$P$46,3,FALSE)</f>
        <v>Small</v>
      </c>
      <c r="E13" s="14">
        <f t="shared" si="1"/>
        <v>16043.478260869566</v>
      </c>
      <c r="F13" s="10">
        <f t="shared" si="0"/>
        <v>0.68444873126576644</v>
      </c>
    </row>
    <row r="14" spans="2:20" x14ac:dyDescent="0.25">
      <c r="B14" s="20" t="str">
        <f>+'County Data'!$B$17</f>
        <v>Curry</v>
      </c>
      <c r="C14" s="15">
        <f>VLOOKUP($B14,'County Data'!$B$10:$P$46,2,FALSE)</f>
        <v>0</v>
      </c>
      <c r="D14" s="15" t="str">
        <f>VLOOKUP($B14,'County Data'!$B$10:$P$46,3,FALSE)</f>
        <v>Extra Small</v>
      </c>
      <c r="E14" s="14">
        <f t="shared" si="1"/>
        <v>10695.652173913044</v>
      </c>
      <c r="F14" s="10" t="e">
        <f t="shared" si="0"/>
        <v>#DIV/0!</v>
      </c>
    </row>
    <row r="15" spans="2:20" x14ac:dyDescent="0.25">
      <c r="B15" s="20" t="str">
        <f>+'County Data'!$B$18</f>
        <v>Deschutes</v>
      </c>
      <c r="C15" s="15">
        <f>VLOOKUP($B15,'County Data'!$B$10:$P$46,2,FALSE)</f>
        <v>0</v>
      </c>
      <c r="D15" s="15" t="str">
        <f>VLOOKUP($B15,'County Data'!$B$10:$P$46,3,FALSE)</f>
        <v>Extra Small</v>
      </c>
      <c r="E15" s="14">
        <f t="shared" si="1"/>
        <v>10695.652173913044</v>
      </c>
      <c r="F15" s="10" t="e">
        <f t="shared" si="0"/>
        <v>#DIV/0!</v>
      </c>
    </row>
    <row r="16" spans="2:20" x14ac:dyDescent="0.25">
      <c r="B16" s="20" t="str">
        <f>+'County Data'!$B$19</f>
        <v>Douglas</v>
      </c>
      <c r="C16" s="15">
        <f>VLOOKUP($B16,'County Data'!$B$10:$P$46,2,FALSE)</f>
        <v>112530</v>
      </c>
      <c r="D16" s="15" t="str">
        <f>VLOOKUP($B16,'County Data'!$B$10:$P$46,3,FALSE)</f>
        <v>Medium</v>
      </c>
      <c r="E16" s="14">
        <f t="shared" si="1"/>
        <v>21391.304347826088</v>
      </c>
      <c r="F16" s="10">
        <f t="shared" si="0"/>
        <v>0.19009423574003456</v>
      </c>
    </row>
    <row r="17" spans="2:6" x14ac:dyDescent="0.25">
      <c r="B17" s="193" t="str">
        <f>+'County Data'!$B$20</f>
        <v>Gilliam</v>
      </c>
      <c r="C17" s="194">
        <f>VLOOKUP($B17,'County Data'!$B$10:$P$46,2,FALSE)</f>
        <v>1990</v>
      </c>
      <c r="D17" s="194" t="str">
        <f>VLOOKUP($B17,'County Data'!$B$10:$P$46,3,FALSE)</f>
        <v>Extra Small</v>
      </c>
      <c r="E17" s="196">
        <f t="shared" si="1"/>
        <v>10695.652173913044</v>
      </c>
      <c r="F17" s="195">
        <f t="shared" si="0"/>
        <v>5.3746995848809265</v>
      </c>
    </row>
    <row r="18" spans="2:6" x14ac:dyDescent="0.25">
      <c r="B18" s="20" t="str">
        <f>+'County Data'!$B$21</f>
        <v>Grant</v>
      </c>
      <c r="C18" s="15">
        <f>VLOOKUP($B18,'County Data'!$B$10:$P$46,2,FALSE)</f>
        <v>7315</v>
      </c>
      <c r="D18" s="15" t="str">
        <f>VLOOKUP($B18,'County Data'!$B$10:$P$46,3,FALSE)</f>
        <v>Extra Small</v>
      </c>
      <c r="E18" s="14">
        <f t="shared" si="1"/>
        <v>10695.652173913044</v>
      </c>
      <c r="F18" s="10">
        <f t="shared" si="0"/>
        <v>1.4621534072334987</v>
      </c>
    </row>
    <row r="19" spans="2:6" x14ac:dyDescent="0.25">
      <c r="B19" s="20" t="str">
        <f>+'County Data'!$B$22</f>
        <v>Harney</v>
      </c>
      <c r="C19" s="15">
        <f>VLOOKUP($B19,'County Data'!$B$10:$P$46,2,FALSE)</f>
        <v>7280</v>
      </c>
      <c r="D19" s="15" t="str">
        <f>VLOOKUP($B19,'County Data'!$B$10:$P$46,3,FALSE)</f>
        <v>Extra Small</v>
      </c>
      <c r="E19" s="14">
        <f t="shared" si="1"/>
        <v>10695.652173913044</v>
      </c>
      <c r="F19" s="10">
        <f t="shared" si="0"/>
        <v>1.4691829909221215</v>
      </c>
    </row>
    <row r="20" spans="2:6" x14ac:dyDescent="0.25">
      <c r="B20" s="20" t="str">
        <f>+'County Data'!$B$23</f>
        <v>Hood River</v>
      </c>
      <c r="C20" s="15">
        <f>VLOOKUP($B20,'County Data'!$B$10:$P$46,2,FALSE)</f>
        <v>25640</v>
      </c>
      <c r="D20" s="15" t="str">
        <f>VLOOKUP($B20,'County Data'!$B$10:$P$46,3,FALSE)</f>
        <v>Small</v>
      </c>
      <c r="E20" s="14">
        <f t="shared" si="1"/>
        <v>16043.478260869566</v>
      </c>
      <c r="F20" s="10">
        <f t="shared" si="0"/>
        <v>0.62572068100115308</v>
      </c>
    </row>
    <row r="21" spans="2:6" x14ac:dyDescent="0.25">
      <c r="B21" s="20" t="str">
        <f>+'County Data'!$B$24</f>
        <v>Jackson</v>
      </c>
      <c r="C21" s="15">
        <f>VLOOKUP($B21,'County Data'!$B$10:$P$46,2,FALSE)</f>
        <v>0</v>
      </c>
      <c r="D21" s="15" t="str">
        <f>VLOOKUP($B21,'County Data'!$B$10:$P$46,3,FALSE)</f>
        <v>Extra Small</v>
      </c>
      <c r="E21" s="14">
        <f t="shared" si="1"/>
        <v>10695.652173913044</v>
      </c>
      <c r="F21" s="10" t="e">
        <f t="shared" si="0"/>
        <v>#DIV/0!</v>
      </c>
    </row>
    <row r="22" spans="2:6" x14ac:dyDescent="0.25">
      <c r="B22" s="20" t="str">
        <f>+'County Data'!$B$25</f>
        <v>Jefferson</v>
      </c>
      <c r="C22" s="15">
        <f>VLOOKUP($B22,'County Data'!$B$10:$P$46,2,FALSE)</f>
        <v>24105</v>
      </c>
      <c r="D22" s="15" t="str">
        <f>VLOOKUP($B22,'County Data'!$B$10:$P$46,3,FALSE)</f>
        <v>Small</v>
      </c>
      <c r="E22" s="14">
        <f t="shared" si="1"/>
        <v>16043.478260869566</v>
      </c>
      <c r="F22" s="10">
        <f t="shared" si="0"/>
        <v>0.66556640783528587</v>
      </c>
    </row>
    <row r="23" spans="2:6" x14ac:dyDescent="0.25">
      <c r="B23" s="20" t="str">
        <f>+'County Data'!$B$26</f>
        <v>Josephine</v>
      </c>
      <c r="C23" s="15">
        <f>VLOOKUP($B23,'County Data'!$B$10:$P$46,2,FALSE)</f>
        <v>86560</v>
      </c>
      <c r="D23" s="15" t="str">
        <f>VLOOKUP($B23,'County Data'!$B$10:$P$46,3,FALSE)</f>
        <v>Medium</v>
      </c>
      <c r="E23" s="14">
        <f t="shared" si="1"/>
        <v>21391.304347826088</v>
      </c>
      <c r="F23" s="10">
        <f t="shared" si="0"/>
        <v>0.24712689865787996</v>
      </c>
    </row>
    <row r="24" spans="2:6" x14ac:dyDescent="0.25">
      <c r="B24" s="20" t="str">
        <f>+'County Data'!$B$27</f>
        <v>Klamath</v>
      </c>
      <c r="C24" s="15">
        <f>VLOOKUP($B24,'County Data'!$B$10:$P$46,2,FALSE)</f>
        <v>68075</v>
      </c>
      <c r="D24" s="15" t="str">
        <f>VLOOKUP($B24,'County Data'!$B$10:$P$46,3,FALSE)</f>
        <v>Small</v>
      </c>
      <c r="E24" s="14">
        <f t="shared" si="1"/>
        <v>16043.478260869566</v>
      </c>
      <c r="F24" s="10">
        <f t="shared" si="0"/>
        <v>0.23567356975203183</v>
      </c>
    </row>
    <row r="25" spans="2:6" x14ac:dyDescent="0.25">
      <c r="B25" s="20" t="str">
        <f>+'County Data'!$B$28</f>
        <v>Lake</v>
      </c>
      <c r="C25" s="15">
        <f>VLOOKUP($B25,'County Data'!$B$10:$P$46,2,FALSE)</f>
        <v>8075</v>
      </c>
      <c r="D25" s="15" t="str">
        <f>VLOOKUP($B25,'County Data'!$B$10:$P$46,3,FALSE)</f>
        <v>Extra Small</v>
      </c>
      <c r="E25" s="14">
        <f t="shared" si="1"/>
        <v>10695.652173913044</v>
      </c>
      <c r="F25" s="10">
        <f t="shared" si="0"/>
        <v>1.3245389689056402</v>
      </c>
    </row>
    <row r="26" spans="2:6" x14ac:dyDescent="0.25">
      <c r="B26" s="20" t="str">
        <f>+'County Data'!$B$29</f>
        <v>Lane</v>
      </c>
      <c r="C26" s="15">
        <f>VLOOKUP($B26,'County Data'!$B$10:$P$46,2,FALSE)</f>
        <v>0</v>
      </c>
      <c r="D26" s="15" t="str">
        <f>VLOOKUP($B26,'County Data'!$B$10:$P$46,3,FALSE)</f>
        <v>Extra Small</v>
      </c>
      <c r="E26" s="14">
        <f t="shared" si="1"/>
        <v>10695.652173913044</v>
      </c>
      <c r="F26" s="10" t="e">
        <f t="shared" si="0"/>
        <v>#DIV/0!</v>
      </c>
    </row>
    <row r="27" spans="2:6" x14ac:dyDescent="0.25">
      <c r="B27" s="20" t="str">
        <f>+'County Data'!$B$30</f>
        <v>Lincoln</v>
      </c>
      <c r="C27" s="15">
        <f>VLOOKUP($B27,'County Data'!$B$10:$P$46,2,FALSE)</f>
        <v>0</v>
      </c>
      <c r="D27" s="15" t="str">
        <f>VLOOKUP($B27,'County Data'!$B$10:$P$46,3,FALSE)</f>
        <v>Extra Small</v>
      </c>
      <c r="E27" s="14">
        <f>VLOOKUP(D27,$H$7:$J$11,3,FALSE)</f>
        <v>10695.652173913044</v>
      </c>
      <c r="F27" s="10" t="e">
        <f t="shared" si="0"/>
        <v>#DIV/0!</v>
      </c>
    </row>
    <row r="28" spans="2:6" x14ac:dyDescent="0.25">
      <c r="B28" s="20" t="str">
        <f>+'County Data'!$B$31</f>
        <v>Linn</v>
      </c>
      <c r="C28" s="15">
        <f>VLOOKUP($B28,'County Data'!$B$10:$P$46,2,FALSE)</f>
        <v>0</v>
      </c>
      <c r="D28" s="15" t="str">
        <f>VLOOKUP($B28,'County Data'!$B$10:$P$46,3,FALSE)</f>
        <v>Extra Small</v>
      </c>
      <c r="E28" s="14">
        <f t="shared" si="1"/>
        <v>10695.652173913044</v>
      </c>
      <c r="F28" s="10" t="e">
        <f t="shared" si="0"/>
        <v>#DIV/0!</v>
      </c>
    </row>
    <row r="29" spans="2:6" x14ac:dyDescent="0.25">
      <c r="B29" s="20" t="str">
        <f>+'County Data'!$B$32</f>
        <v>Malheur</v>
      </c>
      <c r="C29" s="15">
        <f>VLOOKUP($B29,'County Data'!$B$10:$P$46,2,FALSE)</f>
        <v>32105</v>
      </c>
      <c r="D29" s="15" t="str">
        <f>VLOOKUP($B29,'County Data'!$B$10:$P$46,3,FALSE)</f>
        <v>Small</v>
      </c>
      <c r="E29" s="14">
        <f t="shared" si="1"/>
        <v>16043.478260869566</v>
      </c>
      <c r="F29" s="10">
        <f t="shared" si="0"/>
        <v>0.49971899270735293</v>
      </c>
    </row>
    <row r="30" spans="2:6" x14ac:dyDescent="0.25">
      <c r="B30" s="20" t="str">
        <f>+'County Data'!$B$33</f>
        <v>Marion</v>
      </c>
      <c r="C30" s="15">
        <f>VLOOKUP($B30,'County Data'!$B$10:$P$46,2,FALSE)</f>
        <v>0</v>
      </c>
      <c r="D30" s="15" t="str">
        <f>VLOOKUP($B30,'County Data'!$B$10:$P$46,3,FALSE)</f>
        <v>Extra Small</v>
      </c>
      <c r="E30" s="14">
        <f t="shared" si="1"/>
        <v>10695.652173913044</v>
      </c>
      <c r="F30" s="10" t="e">
        <f t="shared" si="0"/>
        <v>#DIV/0!</v>
      </c>
    </row>
    <row r="31" spans="2:6" x14ac:dyDescent="0.25">
      <c r="B31" s="20" t="str">
        <f>+'County Data'!$B$34</f>
        <v>Morrow</v>
      </c>
      <c r="C31" s="15">
        <f>VLOOKUP($B31,'County Data'!$B$10:$P$46,2,FALSE)</f>
        <v>12825</v>
      </c>
      <c r="D31" s="15" t="str">
        <f>VLOOKUP($B31,'County Data'!$B$10:$P$46,3,FALSE)</f>
        <v>Extra Small</v>
      </c>
      <c r="E31" s="14">
        <f t="shared" si="1"/>
        <v>10695.652173913044</v>
      </c>
      <c r="F31" s="10">
        <f t="shared" si="0"/>
        <v>0.83396898042206968</v>
      </c>
    </row>
    <row r="32" spans="2:6" x14ac:dyDescent="0.25">
      <c r="B32" s="20" t="str">
        <f>+'County Data'!$B$35</f>
        <v>Multnomah</v>
      </c>
      <c r="C32" s="15">
        <f>VLOOKUP($B32,'County Data'!$B$10:$P$46,2,FALSE)</f>
        <v>0</v>
      </c>
      <c r="D32" s="15" t="str">
        <f>VLOOKUP($B32,'County Data'!$B$10:$P$46,3,FALSE)</f>
        <v>Extra Small</v>
      </c>
      <c r="E32" s="14">
        <f t="shared" si="1"/>
        <v>10695.652173913044</v>
      </c>
      <c r="F32" s="10" t="e">
        <f t="shared" si="0"/>
        <v>#DIV/0!</v>
      </c>
    </row>
    <row r="33" spans="2:6" x14ac:dyDescent="0.25">
      <c r="B33" s="20" t="str">
        <f>+'County Data'!$B$37</f>
        <v>Polk</v>
      </c>
      <c r="C33" s="15">
        <f>VLOOKUP($B33,'County Data'!$B$10:$P$46,2,FALSE)</f>
        <v>83805</v>
      </c>
      <c r="D33" s="15" t="str">
        <f>VLOOKUP($B33,'County Data'!$B$10:$P$46,3,FALSE)</f>
        <v>Medium</v>
      </c>
      <c r="E33" s="14">
        <f t="shared" si="1"/>
        <v>21391.304347826088</v>
      </c>
      <c r="F33" s="10">
        <f t="shared" si="0"/>
        <v>0.25525093189936265</v>
      </c>
    </row>
    <row r="34" spans="2:6" x14ac:dyDescent="0.25">
      <c r="B34" s="193" t="str">
        <f>+'County Data'!$B$38</f>
        <v>Sherman</v>
      </c>
      <c r="C34" s="194">
        <f>VLOOKUP($B34,'County Data'!$B$10:$P$46,2,FALSE)</f>
        <v>1795</v>
      </c>
      <c r="D34" s="194" t="str">
        <f>VLOOKUP($B34,'County Data'!$B$10:$P$46,3,FALSE)</f>
        <v>Extra Small</v>
      </c>
      <c r="E34" s="196">
        <f t="shared" si="1"/>
        <v>10695.652173913044</v>
      </c>
      <c r="F34" s="195">
        <f t="shared" si="0"/>
        <v>5.9585805982802471</v>
      </c>
    </row>
    <row r="35" spans="2:6" x14ac:dyDescent="0.25">
      <c r="B35" s="20" t="str">
        <f>+'County Data'!$B$39</f>
        <v>Tillamook</v>
      </c>
      <c r="C35" s="15">
        <f>VLOOKUP($B35,'County Data'!$B$10:$P$46,2,FALSE)</f>
        <v>26530</v>
      </c>
      <c r="D35" s="15" t="str">
        <f>VLOOKUP($B35,'County Data'!$B$10:$P$46,3,FALSE)</f>
        <v>Small</v>
      </c>
      <c r="E35" s="14">
        <f t="shared" si="1"/>
        <v>16043.478260869566</v>
      </c>
      <c r="F35" s="10">
        <f t="shared" si="0"/>
        <v>0.60472967436372282</v>
      </c>
    </row>
    <row r="36" spans="2:6" x14ac:dyDescent="0.25">
      <c r="B36" s="20" t="str">
        <f>+'County Data'!$B$40</f>
        <v>Umatilla</v>
      </c>
      <c r="C36" s="15">
        <f>VLOOKUP($B36,'County Data'!$B$10:$P$46,2,FALSE)</f>
        <v>81495</v>
      </c>
      <c r="D36" s="15" t="str">
        <f>VLOOKUP($B36,'County Data'!$B$10:$P$46,3,FALSE)</f>
        <v>Medium</v>
      </c>
      <c r="E36" s="14">
        <f t="shared" si="1"/>
        <v>21391.304347826088</v>
      </c>
      <c r="F36" s="10">
        <f t="shared" si="0"/>
        <v>0.26248609543930412</v>
      </c>
    </row>
    <row r="37" spans="2:6" x14ac:dyDescent="0.25">
      <c r="B37" s="20" t="str">
        <f>+'County Data'!$B$41</f>
        <v>Union</v>
      </c>
      <c r="C37" s="15">
        <f>VLOOKUP($B37,'County Data'!$B$10:$P$46,2,FALSE)</f>
        <v>26840</v>
      </c>
      <c r="D37" s="15" t="str">
        <f>VLOOKUP($B37,'County Data'!$B$10:$P$46,3,FALSE)</f>
        <v>Small</v>
      </c>
      <c r="E37" s="14">
        <f t="shared" si="1"/>
        <v>16043.478260869566</v>
      </c>
      <c r="F37" s="10">
        <f t="shared" si="0"/>
        <v>0.59774509168664558</v>
      </c>
    </row>
    <row r="38" spans="2:6" x14ac:dyDescent="0.25">
      <c r="B38" s="20" t="str">
        <f>+'County Data'!$B$42</f>
        <v>Wallowa</v>
      </c>
      <c r="C38" s="15">
        <f>VLOOKUP($B38,'County Data'!$B$10:$P$46,2,FALSE)</f>
        <v>0</v>
      </c>
      <c r="D38" s="15" t="str">
        <f>VLOOKUP($B38,'County Data'!$B$10:$P$46,3,FALSE)</f>
        <v>Extra Small</v>
      </c>
      <c r="E38" s="14">
        <f t="shared" si="1"/>
        <v>10695.652173913044</v>
      </c>
      <c r="F38" s="10" t="e">
        <f t="shared" si="0"/>
        <v>#DIV/0!</v>
      </c>
    </row>
    <row r="39" spans="2:6" x14ac:dyDescent="0.25">
      <c r="B39" s="193" t="str">
        <f>+'County Data'!$B$43</f>
        <v>Wasco</v>
      </c>
      <c r="C39" s="194">
        <f>VLOOKUP($B39,'County Data'!$B$10:$P$46,2,FALSE)</f>
        <v>27295</v>
      </c>
      <c r="D39" s="194" t="str">
        <f>VLOOKUP($B39,'County Data'!$B$10:$P$46,3,FALSE)</f>
        <v>Small</v>
      </c>
      <c r="E39" s="196">
        <f t="shared" si="1"/>
        <v>16043.478260869566</v>
      </c>
      <c r="F39" s="195">
        <f t="shared" si="0"/>
        <v>0.58778084853891066</v>
      </c>
    </row>
    <row r="40" spans="2:6" x14ac:dyDescent="0.25">
      <c r="B40" s="20" t="str">
        <f>+'County Data'!$B$44</f>
        <v>Washington</v>
      </c>
      <c r="C40" s="15">
        <f>VLOOKUP($B40,'County Data'!$B$10:$P$46,2,FALSE)</f>
        <v>0</v>
      </c>
      <c r="D40" s="15" t="str">
        <f>VLOOKUP($B40,'County Data'!$B$10:$P$46,3,FALSE)</f>
        <v>Extra Small</v>
      </c>
      <c r="E40" s="14">
        <f t="shared" si="1"/>
        <v>10695.652173913044</v>
      </c>
      <c r="F40" s="10" t="e">
        <f t="shared" si="0"/>
        <v>#DIV/0!</v>
      </c>
    </row>
    <row r="41" spans="2:6" x14ac:dyDescent="0.25">
      <c r="B41" s="20" t="str">
        <f>'County Data'!$B$45</f>
        <v>Wheeler</v>
      </c>
      <c r="C41" s="15">
        <f>VLOOKUP($B41,'County Data'!$B$10:$P$46,2,FALSE)</f>
        <v>1440</v>
      </c>
      <c r="D41" s="15" t="str">
        <f>VLOOKUP($B41,'County Data'!$B$10:$P$46,3,FALSE)</f>
        <v>Extra Small</v>
      </c>
      <c r="E41" s="14">
        <f t="shared" si="1"/>
        <v>10695.652173913044</v>
      </c>
      <c r="F41" s="10">
        <f t="shared" si="0"/>
        <v>7.4275362318840585</v>
      </c>
    </row>
    <row r="42" spans="2:6" x14ac:dyDescent="0.25">
      <c r="B42" s="20" t="str">
        <f>+'County Data'!$B$46</f>
        <v>Yamhill</v>
      </c>
      <c r="C42" s="15">
        <f>VLOOKUP($B42,'County Data'!$B$10:$P$46,2,FALSE)</f>
        <v>108605</v>
      </c>
      <c r="D42" s="15" t="str">
        <f>VLOOKUP($B42,'County Data'!$B$10:$P$46,3,FALSE)</f>
        <v>Medium</v>
      </c>
      <c r="E42" s="14">
        <f t="shared" si="1"/>
        <v>21391.304347826088</v>
      </c>
      <c r="F42" s="10">
        <f t="shared" si="0"/>
        <v>0.19696426819967855</v>
      </c>
    </row>
    <row r="43" spans="2:6" x14ac:dyDescent="0.25">
      <c r="B43" s="4" t="s">
        <v>2</v>
      </c>
      <c r="C43" s="5">
        <f t="shared" ref="C43:D43" si="3">SUM(C7:C42)</f>
        <v>940705</v>
      </c>
      <c r="D43" s="8">
        <f t="shared" si="3"/>
        <v>0</v>
      </c>
      <c r="E43" s="11">
        <f>SUM(E7:E42)</f>
        <v>497347.82608695648</v>
      </c>
      <c r="F43" s="12">
        <f t="shared" ref="F43" si="4">E43/C43</f>
        <v>0.52869690932540647</v>
      </c>
    </row>
    <row r="44" spans="2:6" x14ac:dyDescent="0.25">
      <c r="E44" s="22">
        <f>E43-C4</f>
        <v>128347.82608695648</v>
      </c>
    </row>
    <row r="45" spans="2:6" x14ac:dyDescent="0.25">
      <c r="B45" s="56" t="s">
        <v>84</v>
      </c>
      <c r="C45" s="57">
        <f>SUM(C17,C34,C39)</f>
        <v>31080</v>
      </c>
      <c r="D45" s="56"/>
      <c r="E45" s="57">
        <f>SUM(E17,E34,E39)</f>
        <v>37434.782608695656</v>
      </c>
      <c r="F45" s="10">
        <f>E45/C45</f>
        <v>1.2044653349001175</v>
      </c>
    </row>
    <row r="51" spans="13:19" x14ac:dyDescent="0.25">
      <c r="N51">
        <v>1.6299999999999999E-2</v>
      </c>
    </row>
    <row r="52" spans="13:19" x14ac:dyDescent="0.25">
      <c r="N52" t="s">
        <v>141</v>
      </c>
      <c r="Q52" t="s">
        <v>140</v>
      </c>
    </row>
    <row r="53" spans="13:19" x14ac:dyDescent="0.25">
      <c r="M53" t="s">
        <v>135</v>
      </c>
      <c r="N53">
        <v>9</v>
      </c>
      <c r="O53">
        <v>2</v>
      </c>
      <c r="Q53">
        <v>1</v>
      </c>
      <c r="S53">
        <f>Q53*N53</f>
        <v>9</v>
      </c>
    </row>
    <row r="54" spans="13:19" x14ac:dyDescent="0.25">
      <c r="M54" t="s">
        <v>136</v>
      </c>
      <c r="N54">
        <v>13</v>
      </c>
      <c r="O54">
        <v>1</v>
      </c>
      <c r="Q54">
        <v>1.5</v>
      </c>
      <c r="S54">
        <f>Q54*N54</f>
        <v>19.5</v>
      </c>
    </row>
    <row r="55" spans="13:19" x14ac:dyDescent="0.25">
      <c r="M55" t="s">
        <v>137</v>
      </c>
      <c r="N55">
        <v>7</v>
      </c>
      <c r="Q55">
        <v>2</v>
      </c>
      <c r="S55">
        <f>Q55*N55</f>
        <v>14</v>
      </c>
    </row>
    <row r="56" spans="13:19" x14ac:dyDescent="0.25">
      <c r="M56" t="s">
        <v>138</v>
      </c>
      <c r="N56">
        <v>3</v>
      </c>
      <c r="Q56">
        <v>2.5</v>
      </c>
      <c r="S56">
        <f>Q56*N56</f>
        <v>7.5</v>
      </c>
    </row>
    <row r="57" spans="13:19" x14ac:dyDescent="0.25">
      <c r="M57" t="s">
        <v>139</v>
      </c>
      <c r="N57">
        <v>4</v>
      </c>
      <c r="Q57">
        <v>3</v>
      </c>
      <c r="S57">
        <f>Q57*N57</f>
        <v>12</v>
      </c>
    </row>
    <row r="58" spans="13:19" x14ac:dyDescent="0.25">
      <c r="N58">
        <f>SUM(N53:N57)</f>
        <v>36</v>
      </c>
      <c r="S58">
        <f>SUM(S53:S57)</f>
        <v>62</v>
      </c>
    </row>
    <row r="59" spans="13:19" x14ac:dyDescent="0.25">
      <c r="S59">
        <f>1/62</f>
        <v>1.6129032258064516E-2</v>
      </c>
    </row>
  </sheetData>
  <autoFilter ref="B6:F45" xr:uid="{FB2F58AF-E268-42D2-8061-8AB05606CA26}"/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1"/>
  <sheetViews>
    <sheetView zoomScaleNormal="100" workbookViewId="0">
      <selection activeCell="I27" sqref="I27"/>
    </sheetView>
  </sheetViews>
  <sheetFormatPr defaultRowHeight="15" x14ac:dyDescent="0.25"/>
  <cols>
    <col min="1" max="1" width="9.140625" customWidth="1"/>
    <col min="2" max="2" width="17.42578125" bestFit="1" customWidth="1"/>
    <col min="3" max="3" width="11.85546875" bestFit="1" customWidth="1"/>
    <col min="4" max="5" width="10.5703125" bestFit="1" customWidth="1"/>
    <col min="6" max="6" width="9.7109375" bestFit="1" customWidth="1"/>
    <col min="7" max="7" width="14.140625" customWidth="1"/>
    <col min="8" max="8" width="10" bestFit="1" customWidth="1"/>
    <col min="11" max="11" width="10.5703125" bestFit="1" customWidth="1"/>
  </cols>
  <sheetData>
    <row r="3" spans="2:11" x14ac:dyDescent="0.25">
      <c r="B3" t="s">
        <v>0</v>
      </c>
      <c r="C3" s="1">
        <f>'County Data'!C5</f>
        <v>2000000</v>
      </c>
    </row>
    <row r="4" spans="2:11" x14ac:dyDescent="0.25">
      <c r="B4" t="s">
        <v>41</v>
      </c>
      <c r="C4" s="14">
        <f>'County Data'!E9</f>
        <v>271833.33333333331</v>
      </c>
      <c r="D4" s="9"/>
    </row>
    <row r="5" spans="2:11" x14ac:dyDescent="0.25">
      <c r="B5" s="26"/>
      <c r="C5" s="26"/>
      <c r="D5" s="26"/>
      <c r="E5" s="26"/>
      <c r="F5" s="26"/>
      <c r="G5" s="26"/>
      <c r="H5" s="26"/>
    </row>
    <row r="6" spans="2:11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1" x14ac:dyDescent="0.25">
      <c r="B7" s="20" t="str">
        <f>'County Data'!$B$11</f>
        <v>Benton</v>
      </c>
      <c r="C7" s="15">
        <f>VLOOKUP($B7,'County Data'!$B$10:$L$46,2,FALSE)</f>
        <v>0</v>
      </c>
      <c r="D7" s="34">
        <f>VLOOKUP(B7,'County Data'!$B$10:$L$46,4,FALSE)</f>
        <v>4.0668929999999999E-2</v>
      </c>
      <c r="E7" s="31">
        <f t="shared" ref="E7:E40" si="0">C7*D7</f>
        <v>0</v>
      </c>
      <c r="F7" s="6">
        <f t="shared" ref="F7:F40" si="1">E7/$E$41</f>
        <v>0</v>
      </c>
      <c r="G7" s="14">
        <f t="shared" ref="G7:G40" si="2">$C$4*F7</f>
        <v>0</v>
      </c>
      <c r="H7" s="10" t="e">
        <f t="shared" ref="H7:H40" si="3">G7/C7</f>
        <v>#DIV/0!</v>
      </c>
      <c r="I7" s="22"/>
      <c r="K7" s="32"/>
    </row>
    <row r="8" spans="2:11" x14ac:dyDescent="0.25">
      <c r="B8" s="20" t="str">
        <f>'County Data'!$B$44</f>
        <v>Washington</v>
      </c>
      <c r="C8" s="15">
        <f>VLOOKUP($B8,'County Data'!$B$10:$L$46,2,FALSE)</f>
        <v>0</v>
      </c>
      <c r="D8" s="34">
        <f>VLOOKUP(B8,'County Data'!$B$10:$L$46,4,FALSE)</f>
        <v>4.2650979999999998E-2</v>
      </c>
      <c r="E8" s="31">
        <f t="shared" si="0"/>
        <v>0</v>
      </c>
      <c r="F8" s="6">
        <f t="shared" si="1"/>
        <v>0</v>
      </c>
      <c r="G8" s="14">
        <f t="shared" si="2"/>
        <v>0</v>
      </c>
      <c r="H8" s="10" t="e">
        <f t="shared" si="3"/>
        <v>#DIV/0!</v>
      </c>
      <c r="I8" s="22"/>
    </row>
    <row r="9" spans="2:11" x14ac:dyDescent="0.25">
      <c r="B9" s="20" t="str">
        <f>'County Data'!$B$23</f>
        <v>Hood River</v>
      </c>
      <c r="C9" s="15">
        <f>VLOOKUP($B9,'County Data'!$B$10:$L$46,2,FALSE)</f>
        <v>25640</v>
      </c>
      <c r="D9" s="34">
        <f>VLOOKUP(B9,'County Data'!$B$10:$L$46,4,FALSE)</f>
        <v>4.750973E-2</v>
      </c>
      <c r="E9" s="31">
        <f t="shared" si="0"/>
        <v>1218.1494772000001</v>
      </c>
      <c r="F9" s="6">
        <f t="shared" si="1"/>
        <v>1.593556769758479E-2</v>
      </c>
      <c r="G9" s="14">
        <f t="shared" si="2"/>
        <v>4331.8184857934648</v>
      </c>
      <c r="H9" s="10">
        <f t="shared" si="3"/>
        <v>0.16894767885309925</v>
      </c>
      <c r="I9" s="22"/>
    </row>
    <row r="10" spans="2:11" x14ac:dyDescent="0.25">
      <c r="B10" s="20" t="str">
        <f>'County Data'!$B$12</f>
        <v>Clackamas</v>
      </c>
      <c r="C10" s="15">
        <f>VLOOKUP($B10,'County Data'!$B$10:$L$46,2,FALSE)</f>
        <v>0</v>
      </c>
      <c r="D10" s="34">
        <f>VLOOKUP(B10,'County Data'!$B$10:$L$46,4,FALSE)</f>
        <v>5.6630379999999994E-2</v>
      </c>
      <c r="E10" s="31">
        <f t="shared" si="0"/>
        <v>0</v>
      </c>
      <c r="F10" s="6">
        <f t="shared" si="1"/>
        <v>0</v>
      </c>
      <c r="G10" s="14">
        <f t="shared" si="2"/>
        <v>0</v>
      </c>
      <c r="H10" s="10" t="e">
        <f t="shared" si="3"/>
        <v>#DIV/0!</v>
      </c>
      <c r="I10" s="22"/>
    </row>
    <row r="11" spans="2:11" x14ac:dyDescent="0.25">
      <c r="B11" s="20" t="str">
        <f>'County Data'!$B$37</f>
        <v>Polk</v>
      </c>
      <c r="C11" s="15">
        <f>VLOOKUP($B11,'County Data'!$B$10:$L$46,2,FALSE)</f>
        <v>83805</v>
      </c>
      <c r="D11" s="34">
        <f>VLOOKUP(B11,'County Data'!$B$10:$L$46,4,FALSE)</f>
        <v>6.0078370000000006E-2</v>
      </c>
      <c r="E11" s="31">
        <f t="shared" si="0"/>
        <v>5034.8677978500009</v>
      </c>
      <c r="F11" s="6">
        <f t="shared" si="1"/>
        <v>6.5865050342959947E-2</v>
      </c>
      <c r="G11" s="14">
        <f t="shared" si="2"/>
        <v>17904.316184894611</v>
      </c>
      <c r="H11" s="10">
        <f t="shared" si="3"/>
        <v>0.21364257723160446</v>
      </c>
      <c r="I11" s="22"/>
    </row>
    <row r="12" spans="2:11" x14ac:dyDescent="0.25">
      <c r="B12" s="20" t="str">
        <f>'County Data'!$B$18</f>
        <v>Deschutes</v>
      </c>
      <c r="C12" s="15">
        <f>VLOOKUP($B12,'County Data'!$B$10:$L$46,2,FALSE)</f>
        <v>0</v>
      </c>
      <c r="D12" s="34">
        <f>VLOOKUP(B12,'County Data'!$B$10:$L$46,4,FALSE)</f>
        <v>5.375133E-2</v>
      </c>
      <c r="E12" s="31">
        <f t="shared" si="0"/>
        <v>0</v>
      </c>
      <c r="F12" s="6">
        <f t="shared" si="1"/>
        <v>0</v>
      </c>
      <c r="G12" s="14">
        <f t="shared" si="2"/>
        <v>0</v>
      </c>
      <c r="H12" s="10" t="e">
        <f t="shared" si="3"/>
        <v>#DIV/0!</v>
      </c>
      <c r="I12" s="22"/>
    </row>
    <row r="13" spans="2:11" x14ac:dyDescent="0.25">
      <c r="B13" s="20" t="str">
        <f>'County Data'!$B$46</f>
        <v>Yamhill</v>
      </c>
      <c r="C13" s="15">
        <f>VLOOKUP($B13,'County Data'!$B$10:$L$46,2,FALSE)</f>
        <v>108605</v>
      </c>
      <c r="D13" s="34">
        <f>VLOOKUP(B13,'County Data'!$B$10:$L$46,4,FALSE)</f>
        <v>6.2846349999999995E-2</v>
      </c>
      <c r="E13" s="31">
        <f t="shared" si="0"/>
        <v>6825.4278417499991</v>
      </c>
      <c r="F13" s="6">
        <f t="shared" si="1"/>
        <v>8.928876913135135E-2</v>
      </c>
      <c r="G13" s="14">
        <f t="shared" si="2"/>
        <v>24271.663742205674</v>
      </c>
      <c r="H13" s="10">
        <f t="shared" si="3"/>
        <v>0.22348569349666841</v>
      </c>
      <c r="I13" s="22"/>
    </row>
    <row r="14" spans="2:11" x14ac:dyDescent="0.25">
      <c r="B14" s="20" t="str">
        <f>'County Data'!$B$21</f>
        <v>Grant</v>
      </c>
      <c r="C14" s="15">
        <f>VLOOKUP($B14,'County Data'!$B$10:$L$46,2,FALSE)</f>
        <v>7315</v>
      </c>
      <c r="D14" s="34">
        <f>VLOOKUP(B14,'County Data'!$B$10:$L$46,4,FALSE)</f>
        <v>7.9334200000000007E-2</v>
      </c>
      <c r="E14" s="31">
        <f t="shared" si="0"/>
        <v>580.32967300000007</v>
      </c>
      <c r="F14" s="6">
        <f t="shared" si="1"/>
        <v>7.591747124717105E-3</v>
      </c>
      <c r="G14" s="14">
        <f t="shared" si="2"/>
        <v>2063.6899267355993</v>
      </c>
      <c r="H14" s="10">
        <f t="shared" si="3"/>
        <v>0.28211755662824323</v>
      </c>
      <c r="I14" s="22"/>
    </row>
    <row r="15" spans="2:11" x14ac:dyDescent="0.25">
      <c r="B15" s="20" t="str">
        <f>'County Data'!$B$34</f>
        <v>Morrow</v>
      </c>
      <c r="C15" s="15">
        <f>VLOOKUP($B15,'County Data'!$B$10:$L$46,2,FALSE)</f>
        <v>12825</v>
      </c>
      <c r="D15" s="34">
        <f>VLOOKUP(B15,'County Data'!$B$10:$L$46,4,FALSE)</f>
        <v>6.6599549999999993E-2</v>
      </c>
      <c r="E15" s="31">
        <f t="shared" si="0"/>
        <v>854.13922874999992</v>
      </c>
      <c r="F15" s="6">
        <f t="shared" si="1"/>
        <v>1.1173664445676031E-2</v>
      </c>
      <c r="G15" s="14">
        <f t="shared" si="2"/>
        <v>3037.3744518162675</v>
      </c>
      <c r="H15" s="10">
        <f t="shared" si="3"/>
        <v>0.236832315931093</v>
      </c>
      <c r="I15" s="22"/>
    </row>
    <row r="16" spans="2:11" x14ac:dyDescent="0.25">
      <c r="B16" s="20" t="str">
        <f>'County Data'!$B$45</f>
        <v>Wheeler</v>
      </c>
      <c r="C16" s="15">
        <f>VLOOKUP($B16,'County Data'!$B$10:$L$46,2,FALSE)</f>
        <v>1440</v>
      </c>
      <c r="D16" s="34">
        <f>VLOOKUP(B16,'County Data'!$B$10:$L$46,4,FALSE)</f>
        <v>6.5306119999999995E-2</v>
      </c>
      <c r="E16" s="31">
        <f t="shared" si="0"/>
        <v>94.040812799999998</v>
      </c>
      <c r="F16" s="6">
        <f t="shared" si="1"/>
        <v>1.2302215506055287E-3</v>
      </c>
      <c r="G16" s="14">
        <f t="shared" si="2"/>
        <v>334.41522483960284</v>
      </c>
      <c r="H16" s="10">
        <f t="shared" si="3"/>
        <v>0.23223279502750196</v>
      </c>
      <c r="I16" s="22"/>
    </row>
    <row r="17" spans="2:9" x14ac:dyDescent="0.25">
      <c r="B17" s="20" t="str">
        <f>'County Data'!$B$33</f>
        <v>Marion</v>
      </c>
      <c r="C17" s="15">
        <f>VLOOKUP($B17,'County Data'!$B$10:$L$46,2,FALSE)</f>
        <v>0</v>
      </c>
      <c r="D17" s="34">
        <f>VLOOKUP(B17,'County Data'!$B$10:$L$46,4,FALSE)</f>
        <v>6.3607510000000006E-2</v>
      </c>
      <c r="E17" s="31">
        <f t="shared" si="0"/>
        <v>0</v>
      </c>
      <c r="F17" s="6">
        <f t="shared" si="1"/>
        <v>0</v>
      </c>
      <c r="G17" s="14">
        <f t="shared" si="2"/>
        <v>0</v>
      </c>
      <c r="H17" s="10" t="e">
        <f t="shared" si="3"/>
        <v>#DIV/0!</v>
      </c>
      <c r="I17" s="22"/>
    </row>
    <row r="18" spans="2:9" x14ac:dyDescent="0.25">
      <c r="B18" s="20" t="str">
        <f>'County Data'!$B$35</f>
        <v>Multnomah</v>
      </c>
      <c r="C18" s="15">
        <f>VLOOKUP($B18,'County Data'!$B$10:$L$46,2,FALSE)</f>
        <v>0</v>
      </c>
      <c r="D18" s="34">
        <f>VLOOKUP(B18,'County Data'!$B$10:$L$46,4,FALSE)</f>
        <v>6.2221129999999999E-2</v>
      </c>
      <c r="E18" s="31">
        <f t="shared" si="0"/>
        <v>0</v>
      </c>
      <c r="F18" s="6">
        <f t="shared" si="1"/>
        <v>0</v>
      </c>
      <c r="G18" s="14">
        <f t="shared" si="2"/>
        <v>0</v>
      </c>
      <c r="H18" s="10" t="e">
        <f t="shared" si="3"/>
        <v>#DIV/0!</v>
      </c>
      <c r="I18" s="22"/>
    </row>
    <row r="19" spans="2:9" x14ac:dyDescent="0.25">
      <c r="B19" s="20" t="str">
        <f>'County Data'!$B$29</f>
        <v>Lane</v>
      </c>
      <c r="C19" s="15">
        <f>VLOOKUP($B19,'County Data'!$B$10:$L$46,2,FALSE)</f>
        <v>0</v>
      </c>
      <c r="D19" s="34">
        <f>VLOOKUP(B19,'County Data'!$B$10:$L$46,4,FALSE)</f>
        <v>6.8141679999999996E-2</v>
      </c>
      <c r="E19" s="31">
        <f t="shared" si="0"/>
        <v>0</v>
      </c>
      <c r="F19" s="6">
        <f t="shared" si="1"/>
        <v>0</v>
      </c>
      <c r="G19" s="14">
        <f t="shared" si="2"/>
        <v>0</v>
      </c>
      <c r="H19" s="10" t="e">
        <f t="shared" si="3"/>
        <v>#DIV/0!</v>
      </c>
      <c r="I19" s="22"/>
    </row>
    <row r="20" spans="2:9" x14ac:dyDescent="0.25">
      <c r="B20" s="20" t="str">
        <f>'County Data'!$B$41</f>
        <v>Union</v>
      </c>
      <c r="C20" s="15">
        <f>VLOOKUP($B20,'County Data'!$B$10:$L$46,2,FALSE)</f>
        <v>26840</v>
      </c>
      <c r="D20" s="34">
        <f>VLOOKUP(B20,'County Data'!$B$10:$L$46,4,FALSE)</f>
        <v>7.7874589999999994E-2</v>
      </c>
      <c r="E20" s="31">
        <f t="shared" si="0"/>
        <v>2090.1539955999997</v>
      </c>
      <c r="F20" s="6">
        <f t="shared" si="1"/>
        <v>2.7342941994131436E-2</v>
      </c>
      <c r="G20" s="14">
        <f t="shared" si="2"/>
        <v>7432.723065404728</v>
      </c>
      <c r="H20" s="10">
        <f t="shared" si="3"/>
        <v>0.27692708887498985</v>
      </c>
      <c r="I20" s="22"/>
    </row>
    <row r="21" spans="2:9" x14ac:dyDescent="0.25">
      <c r="B21" s="20" t="str">
        <f>'County Data'!$B$32</f>
        <v>Malheur</v>
      </c>
      <c r="C21" s="15">
        <f>VLOOKUP($B21,'County Data'!$B$10:$L$46,2,FALSE)</f>
        <v>32105</v>
      </c>
      <c r="D21" s="34">
        <f>VLOOKUP(B21,'County Data'!$B$10:$L$46,4,FALSE)</f>
        <v>7.7298069999999997E-2</v>
      </c>
      <c r="E21" s="31">
        <f t="shared" si="0"/>
        <v>2481.6545373499998</v>
      </c>
      <c r="F21" s="6">
        <f t="shared" si="1"/>
        <v>3.2464467310579892E-2</v>
      </c>
      <c r="G21" s="14">
        <f t="shared" si="2"/>
        <v>8824.9243639259676</v>
      </c>
      <c r="H21" s="10">
        <f t="shared" si="3"/>
        <v>0.27487694639233662</v>
      </c>
      <c r="I21" s="22"/>
    </row>
    <row r="22" spans="2:9" x14ac:dyDescent="0.25">
      <c r="B22" s="20" t="str">
        <f>'County Data'!$B$31</f>
        <v>Linn</v>
      </c>
      <c r="C22" s="15">
        <f>VLOOKUP($B22,'County Data'!$B$10:$L$46,2,FALSE)</f>
        <v>0</v>
      </c>
      <c r="D22" s="34">
        <f>VLOOKUP(B22,'County Data'!$B$10:$L$46,4,FALSE)</f>
        <v>7.4680110000000008E-2</v>
      </c>
      <c r="E22" s="31">
        <f t="shared" si="0"/>
        <v>0</v>
      </c>
      <c r="F22" s="6">
        <f t="shared" si="1"/>
        <v>0</v>
      </c>
      <c r="G22" s="14">
        <f t="shared" si="2"/>
        <v>0</v>
      </c>
      <c r="H22" s="10" t="e">
        <f t="shared" si="3"/>
        <v>#DIV/0!</v>
      </c>
      <c r="I22" s="22"/>
    </row>
    <row r="23" spans="2:9" x14ac:dyDescent="0.25">
      <c r="B23" s="20" t="str">
        <f>'County Data'!$B$40</f>
        <v>Umatilla</v>
      </c>
      <c r="C23" s="15">
        <f>VLOOKUP($B23,'County Data'!$B$10:$L$46,2,FALSE)</f>
        <v>81495</v>
      </c>
      <c r="D23" s="34">
        <f>VLOOKUP(B23,'County Data'!$B$10:$L$46,4,FALSE)</f>
        <v>7.0862040000000001E-2</v>
      </c>
      <c r="E23" s="31">
        <f t="shared" si="0"/>
        <v>5774.9019497999998</v>
      </c>
      <c r="F23" s="6">
        <f t="shared" si="1"/>
        <v>7.5546016880852052E-2</v>
      </c>
      <c r="G23" s="14">
        <f t="shared" si="2"/>
        <v>20535.925588778282</v>
      </c>
      <c r="H23" s="10">
        <f t="shared" si="3"/>
        <v>0.25199000661118204</v>
      </c>
      <c r="I23" s="22"/>
    </row>
    <row r="24" spans="2:9" x14ac:dyDescent="0.25">
      <c r="B24" s="20" t="str">
        <f>'County Data'!$B$24</f>
        <v>Jackson</v>
      </c>
      <c r="C24" s="15">
        <f>VLOOKUP($B24,'County Data'!$B$10:$L$46,2,FALSE)</f>
        <v>0</v>
      </c>
      <c r="D24" s="34">
        <f>VLOOKUP(B24,'County Data'!$B$10:$L$46,4,FALSE)</f>
        <v>7.6263950000000011E-2</v>
      </c>
      <c r="E24" s="31">
        <f t="shared" si="0"/>
        <v>0</v>
      </c>
      <c r="F24" s="6">
        <f t="shared" si="1"/>
        <v>0</v>
      </c>
      <c r="G24" s="14">
        <f t="shared" si="2"/>
        <v>0</v>
      </c>
      <c r="H24" s="10" t="e">
        <f t="shared" si="3"/>
        <v>#DIV/0!</v>
      </c>
      <c r="I24" s="22"/>
    </row>
    <row r="25" spans="2:9" x14ac:dyDescent="0.25">
      <c r="B25" s="20" t="str">
        <f>'County Data'!$B$16</f>
        <v>Crook</v>
      </c>
      <c r="C25" s="15">
        <f>VLOOKUP($B25,'County Data'!$B$10:$L$46,2,FALSE)</f>
        <v>23440</v>
      </c>
      <c r="D25" s="34">
        <f>VLOOKUP(B25,'County Data'!$B$10:$L$46,4,FALSE)</f>
        <v>8.3662790000000001E-2</v>
      </c>
      <c r="E25" s="31">
        <f t="shared" si="0"/>
        <v>1961.0557976</v>
      </c>
      <c r="F25" s="6">
        <f t="shared" si="1"/>
        <v>2.5654107321235679E-2</v>
      </c>
      <c r="G25" s="14">
        <f t="shared" si="2"/>
        <v>6973.6415068225651</v>
      </c>
      <c r="H25" s="10">
        <f t="shared" si="3"/>
        <v>0.29751030319208893</v>
      </c>
      <c r="I25" s="22"/>
    </row>
    <row r="26" spans="2:9" x14ac:dyDescent="0.25">
      <c r="B26" s="20" t="str">
        <f>'County Data'!$B$14</f>
        <v>Columbia</v>
      </c>
      <c r="C26" s="15">
        <f>VLOOKUP($B26,'County Data'!$B$10:$L$46,2,FALSE)</f>
        <v>53280</v>
      </c>
      <c r="D26" s="34">
        <f>VLOOKUP(B26,'County Data'!$B$10:$L$46,4,FALSE)</f>
        <v>7.1908329999999993E-2</v>
      </c>
      <c r="E26" s="31">
        <f t="shared" si="0"/>
        <v>3831.2758223999995</v>
      </c>
      <c r="F26" s="6">
        <f t="shared" si="1"/>
        <v>5.0119920731165772E-2</v>
      </c>
      <c r="G26" s="14">
        <f t="shared" si="2"/>
        <v>13624.265118755227</v>
      </c>
      <c r="H26" s="10">
        <f t="shared" si="3"/>
        <v>0.25571068165831884</v>
      </c>
      <c r="I26" s="22"/>
    </row>
    <row r="27" spans="2:9" x14ac:dyDescent="0.25">
      <c r="B27" s="20" t="str">
        <f>'County Data'!$B$42</f>
        <v>Wallowa</v>
      </c>
      <c r="C27" s="15">
        <f>VLOOKUP($B27,'County Data'!$B$10:$L$46,2,FALSE)</f>
        <v>0</v>
      </c>
      <c r="D27" s="34">
        <f>VLOOKUP(B27,'County Data'!$B$10:$L$46,4,FALSE)</f>
        <v>6.8052559999999998E-2</v>
      </c>
      <c r="E27" s="31">
        <f t="shared" si="0"/>
        <v>0</v>
      </c>
      <c r="F27" s="6">
        <f t="shared" si="1"/>
        <v>0</v>
      </c>
      <c r="G27" s="14">
        <f t="shared" si="2"/>
        <v>0</v>
      </c>
      <c r="H27" s="10" t="e">
        <f t="shared" si="3"/>
        <v>#DIV/0!</v>
      </c>
      <c r="I27" s="22"/>
    </row>
    <row r="28" spans="2:9" x14ac:dyDescent="0.25">
      <c r="B28" s="20" t="str">
        <f>'County Data'!$B$39</f>
        <v>Tillamook</v>
      </c>
      <c r="C28" s="15">
        <f>VLOOKUP($B28,'County Data'!$B$10:$L$46,2,FALSE)</f>
        <v>26530</v>
      </c>
      <c r="D28" s="34">
        <f>VLOOKUP(B28,'County Data'!$B$10:$L$46,4,FALSE)</f>
        <v>8.2220169999999995E-2</v>
      </c>
      <c r="E28" s="31">
        <f t="shared" si="0"/>
        <v>2181.3011100999997</v>
      </c>
      <c r="F28" s="6">
        <f t="shared" si="1"/>
        <v>2.8535308810142303E-2</v>
      </c>
      <c r="G28" s="14">
        <f t="shared" si="2"/>
        <v>7756.8481115570157</v>
      </c>
      <c r="H28" s="10">
        <f t="shared" si="3"/>
        <v>0.2923802529799101</v>
      </c>
      <c r="I28" s="22"/>
    </row>
    <row r="29" spans="2:9" x14ac:dyDescent="0.25">
      <c r="B29" s="20" t="str">
        <f>'County Data'!$B$28</f>
        <v>Lake</v>
      </c>
      <c r="C29" s="15">
        <f>VLOOKUP($B29,'County Data'!$B$10:$L$46,2,FALSE)</f>
        <v>8075</v>
      </c>
      <c r="D29" s="34">
        <f>VLOOKUP(B29,'County Data'!$B$10:$L$46,4,FALSE)</f>
        <v>9.3079839999999997E-2</v>
      </c>
      <c r="E29" s="31">
        <f t="shared" si="0"/>
        <v>751.61970799999995</v>
      </c>
      <c r="F29" s="6">
        <f t="shared" si="1"/>
        <v>9.8325262735440185E-3</v>
      </c>
      <c r="G29" s="14">
        <f t="shared" si="2"/>
        <v>2672.8083920250488</v>
      </c>
      <c r="H29" s="10">
        <f t="shared" si="3"/>
        <v>0.33099794328483578</v>
      </c>
      <c r="I29" s="22"/>
    </row>
    <row r="30" spans="2:9" x14ac:dyDescent="0.25">
      <c r="B30" s="20" t="str">
        <f>'County Data'!$B$36</f>
        <v>Gilliam, Sherman, Wasco</v>
      </c>
      <c r="C30" s="15">
        <f>VLOOKUP($B30,'County Data'!$B$10:$L$46,2,FALSE)</f>
        <v>31080</v>
      </c>
      <c r="D30" s="34">
        <f>VLOOKUP(B30,'County Data'!$B$10:$L$46,4,FALSE)</f>
        <v>8.1669599999999995E-2</v>
      </c>
      <c r="E30" s="31">
        <f t="shared" si="0"/>
        <v>2538.2911679999997</v>
      </c>
      <c r="F30" s="6">
        <f t="shared" si="1"/>
        <v>3.3205375449341906E-2</v>
      </c>
      <c r="G30" s="14">
        <f t="shared" si="2"/>
        <v>9026.3278929794415</v>
      </c>
      <c r="H30" s="10">
        <f t="shared" si="3"/>
        <v>0.29042239037900391</v>
      </c>
      <c r="I30" s="22"/>
    </row>
    <row r="31" spans="2:9" x14ac:dyDescent="0.25">
      <c r="B31" s="20" t="str">
        <f>'County Data'!$B$10</f>
        <v>Baker</v>
      </c>
      <c r="C31" s="15">
        <f>VLOOKUP($B31,'County Data'!$B$10:$L$46,2,FALSE)</f>
        <v>16910</v>
      </c>
      <c r="D31" s="34">
        <f>VLOOKUP(B31,'County Data'!$B$10:$L$46,4,FALSE)</f>
        <v>8.6297479999999996E-2</v>
      </c>
      <c r="E31" s="31">
        <f t="shared" si="0"/>
        <v>1459.2903867999999</v>
      </c>
      <c r="F31" s="6">
        <f t="shared" si="1"/>
        <v>1.909012086327733E-2</v>
      </c>
      <c r="G31" s="14">
        <f t="shared" si="2"/>
        <v>5189.3311880008869</v>
      </c>
      <c r="H31" s="10">
        <f t="shared" si="3"/>
        <v>0.30687943157899983</v>
      </c>
      <c r="I31" s="22"/>
    </row>
    <row r="32" spans="2:9" x14ac:dyDescent="0.25">
      <c r="B32" s="20" t="str">
        <f>'County Data'!$B$13</f>
        <v>Clatsop</v>
      </c>
      <c r="C32" s="15">
        <f>VLOOKUP($B32,'County Data'!$B$10:$L$46,2,FALSE)</f>
        <v>39455</v>
      </c>
      <c r="D32" s="34">
        <f>VLOOKUP(B32,'County Data'!$B$10:$L$46,4,FALSE)</f>
        <v>8.1797190000000006E-2</v>
      </c>
      <c r="E32" s="31">
        <f t="shared" si="0"/>
        <v>3227.30813145</v>
      </c>
      <c r="F32" s="6">
        <f t="shared" si="1"/>
        <v>4.2218946173913231E-2</v>
      </c>
      <c r="G32" s="14">
        <f t="shared" si="2"/>
        <v>11476.516868275412</v>
      </c>
      <c r="H32" s="10">
        <f t="shared" si="3"/>
        <v>0.29087610868775599</v>
      </c>
      <c r="I32" s="22"/>
    </row>
    <row r="33" spans="2:9" x14ac:dyDescent="0.25">
      <c r="B33" s="20" t="str">
        <f>'County Data'!$B$26</f>
        <v>Josephine</v>
      </c>
      <c r="C33" s="15">
        <f>VLOOKUP($B33,'County Data'!$B$10:$L$46,2,FALSE)</f>
        <v>86560</v>
      </c>
      <c r="D33" s="34">
        <f>VLOOKUP(B33,'County Data'!$B$10:$L$46,4,FALSE)</f>
        <v>9.9210980000000004E-2</v>
      </c>
      <c r="E33" s="31">
        <f t="shared" si="0"/>
        <v>8587.7024288000011</v>
      </c>
      <c r="F33" s="6">
        <f t="shared" si="1"/>
        <v>0.11234246369781699</v>
      </c>
      <c r="G33" s="14">
        <f t="shared" si="2"/>
        <v>30538.426381856581</v>
      </c>
      <c r="H33" s="10">
        <f t="shared" si="3"/>
        <v>0.35280067446691982</v>
      </c>
      <c r="I33" s="22"/>
    </row>
    <row r="34" spans="2:9" x14ac:dyDescent="0.25">
      <c r="B34" s="20" t="str">
        <f>'County Data'!$B$19</f>
        <v>Douglas</v>
      </c>
      <c r="C34" s="15">
        <f>VLOOKUP($B34,'County Data'!$B$10:$L$46,2,FALSE)</f>
        <v>112530</v>
      </c>
      <c r="D34" s="34">
        <f>VLOOKUP(B34,'County Data'!$B$10:$L$46,4,FALSE)</f>
        <v>0.10093575</v>
      </c>
      <c r="E34" s="31">
        <f t="shared" si="0"/>
        <v>11358.2999475</v>
      </c>
      <c r="F34" s="6">
        <f t="shared" si="1"/>
        <v>0.14858682052624864</v>
      </c>
      <c r="G34" s="14">
        <f t="shared" si="2"/>
        <v>40390.850713051921</v>
      </c>
      <c r="H34" s="10">
        <f t="shared" si="3"/>
        <v>0.35893406836445324</v>
      </c>
      <c r="I34" s="22"/>
    </row>
    <row r="35" spans="2:9" x14ac:dyDescent="0.25">
      <c r="B35" s="20" t="str">
        <f>'County Data'!$B$27</f>
        <v>Klamath</v>
      </c>
      <c r="C35" s="15">
        <f>VLOOKUP($B35,'County Data'!$B$10:$L$46,2,FALSE)</f>
        <v>68075</v>
      </c>
      <c r="D35" s="34">
        <f>VLOOKUP(B35,'County Data'!$B$10:$L$46,4,FALSE)</f>
        <v>9.6826550000000011E-2</v>
      </c>
      <c r="E35" s="31">
        <f t="shared" si="0"/>
        <v>6591.4673912500011</v>
      </c>
      <c r="F35" s="6">
        <f t="shared" si="1"/>
        <v>8.6228149176836508E-2</v>
      </c>
      <c r="G35" s="14">
        <f t="shared" si="2"/>
        <v>23439.685217903389</v>
      </c>
      <c r="H35" s="10">
        <f t="shared" si="3"/>
        <v>0.3443214868586616</v>
      </c>
      <c r="I35" s="22"/>
    </row>
    <row r="36" spans="2:9" x14ac:dyDescent="0.25">
      <c r="B36" s="20" t="str">
        <f>'County Data'!$B$15</f>
        <v>Coos</v>
      </c>
      <c r="C36" s="15">
        <f>VLOOKUP($B36,'County Data'!$B$10:$L$46,2,FALSE)</f>
        <v>63315</v>
      </c>
      <c r="D36" s="34">
        <f>VLOOKUP(B36,'County Data'!$B$10:$L$46,4,FALSE)</f>
        <v>9.8415849999999985E-2</v>
      </c>
      <c r="E36" s="31">
        <f t="shared" si="0"/>
        <v>6231.1995427499987</v>
      </c>
      <c r="F36" s="6">
        <f t="shared" si="1"/>
        <v>8.1515203190740237E-2</v>
      </c>
      <c r="G36" s="14">
        <f t="shared" si="2"/>
        <v>22158.549400682885</v>
      </c>
      <c r="H36" s="10">
        <f t="shared" si="3"/>
        <v>0.34997314065676199</v>
      </c>
      <c r="I36" s="22"/>
    </row>
    <row r="37" spans="2:9" x14ac:dyDescent="0.25">
      <c r="B37" s="20" t="str">
        <f>'County Data'!$B$30</f>
        <v>Lincoln</v>
      </c>
      <c r="C37" s="15">
        <f>VLOOKUP($B37,'County Data'!$B$10:$L$46,2,FALSE)</f>
        <v>0</v>
      </c>
      <c r="D37" s="34">
        <f>VLOOKUP(B37,'County Data'!$B$10:$L$46,4,FALSE)</f>
        <v>9.7818940000000007E-2</v>
      </c>
      <c r="E37" s="31">
        <f t="shared" si="0"/>
        <v>0</v>
      </c>
      <c r="F37" s="6">
        <f t="shared" si="1"/>
        <v>0</v>
      </c>
      <c r="G37" s="14">
        <f t="shared" si="2"/>
        <v>0</v>
      </c>
      <c r="H37" s="10" t="e">
        <f t="shared" si="3"/>
        <v>#DIV/0!</v>
      </c>
      <c r="I37" s="22"/>
    </row>
    <row r="38" spans="2:9" x14ac:dyDescent="0.25">
      <c r="B38" s="20" t="str">
        <f>'County Data'!$B$25</f>
        <v>Jefferson</v>
      </c>
      <c r="C38" s="15">
        <f>VLOOKUP($B38,'County Data'!$B$10:$L$46,2,FALSE)</f>
        <v>24105</v>
      </c>
      <c r="D38" s="34">
        <f>VLOOKUP(B38,'County Data'!$B$10:$L$46,4,FALSE)</f>
        <v>8.5968059999999999E-2</v>
      </c>
      <c r="E38" s="31">
        <f t="shared" si="0"/>
        <v>2072.2600862999998</v>
      </c>
      <c r="F38" s="6">
        <f t="shared" si="1"/>
        <v>2.7108857747196465E-2</v>
      </c>
      <c r="G38" s="14">
        <f t="shared" si="2"/>
        <v>7369.0911642795718</v>
      </c>
      <c r="H38" s="10">
        <f t="shared" si="3"/>
        <v>0.30570799271020832</v>
      </c>
      <c r="I38" s="22"/>
    </row>
    <row r="39" spans="2:9" x14ac:dyDescent="0.25">
      <c r="B39" s="20" t="str">
        <f>'County Data'!$B$22</f>
        <v>Harney</v>
      </c>
      <c r="C39" s="15">
        <f>VLOOKUP($B39,'County Data'!$B$10:$L$46,2,FALSE)</f>
        <v>7280</v>
      </c>
      <c r="D39" s="34">
        <f>VLOOKUP(B39,'County Data'!$B$10:$L$46,4,FALSE)</f>
        <v>9.5802139999999994E-2</v>
      </c>
      <c r="E39" s="31">
        <f t="shared" si="0"/>
        <v>697.43957919999991</v>
      </c>
      <c r="F39" s="6">
        <f t="shared" si="1"/>
        <v>9.1237535600829194E-3</v>
      </c>
      <c r="G39" s="14">
        <f t="shared" si="2"/>
        <v>2480.1403427492069</v>
      </c>
      <c r="H39" s="10">
        <f t="shared" si="3"/>
        <v>0.34067861850950643</v>
      </c>
      <c r="I39" s="22"/>
    </row>
    <row r="40" spans="2:9" x14ac:dyDescent="0.25">
      <c r="B40" s="20" t="str">
        <f>'County Data'!$B$17</f>
        <v>Curry</v>
      </c>
      <c r="C40" s="15">
        <f>VLOOKUP($B40,'County Data'!$B$10:$L$46,2,FALSE)</f>
        <v>0</v>
      </c>
      <c r="D40" s="34">
        <f>VLOOKUP(B40,'County Data'!$B$10:$L$46,4,FALSE)</f>
        <v>9.8974709999999994E-2</v>
      </c>
      <c r="E40" s="31">
        <f t="shared" si="0"/>
        <v>0</v>
      </c>
      <c r="F40" s="6">
        <f t="shared" si="1"/>
        <v>0</v>
      </c>
      <c r="G40" s="14">
        <f t="shared" si="2"/>
        <v>0</v>
      </c>
      <c r="H40" s="10" t="e">
        <f t="shared" si="3"/>
        <v>#DIV/0!</v>
      </c>
      <c r="I40" s="22"/>
    </row>
    <row r="41" spans="2:9" x14ac:dyDescent="0.25">
      <c r="B41" s="4" t="s">
        <v>2</v>
      </c>
      <c r="C41" s="5">
        <f>SUM(C6:C40)</f>
        <v>940705</v>
      </c>
      <c r="D41" s="5">
        <f>SUM(D6:D40)</f>
        <v>2.5689659599999994</v>
      </c>
      <c r="E41" s="5">
        <f>SUM(E6:E40)</f>
        <v>76442.176414249989</v>
      </c>
      <c r="F41" s="8">
        <f>SUM(F6:F40)</f>
        <v>1.0000000000000002</v>
      </c>
      <c r="G41" s="11">
        <f>SUM(G6:G40)</f>
        <v>271833.33333333337</v>
      </c>
      <c r="H41" s="12">
        <f t="shared" ref="H41" si="4">G41/C41</f>
        <v>0.28896767140956342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12" x14ac:dyDescent="0.25">
      <c r="B3" t="s">
        <v>0</v>
      </c>
      <c r="C3" s="1">
        <f>'County Data'!C5</f>
        <v>2000000</v>
      </c>
    </row>
    <row r="4" spans="2:12" x14ac:dyDescent="0.25">
      <c r="B4" t="s">
        <v>41</v>
      </c>
      <c r="C4" s="14">
        <f>'County Data'!F9</f>
        <v>271833.33333333331</v>
      </c>
      <c r="D4" s="9"/>
    </row>
    <row r="6" spans="2:12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2" x14ac:dyDescent="0.25">
      <c r="B7" s="20" t="str">
        <f>+'County Data'!$B$18</f>
        <v>Deschutes</v>
      </c>
      <c r="C7" s="15">
        <f>VLOOKUP($B7,'County Data'!$B$10:$L$46,2,FALSE)</f>
        <v>0</v>
      </c>
      <c r="D7" s="29">
        <f>VLOOKUP($B7,'County Data'!$B$10:$L$46,5,FALSE)</f>
        <v>0.13699999999999998</v>
      </c>
      <c r="E7" s="31">
        <f t="shared" ref="E7:E40" si="0">C7*D7</f>
        <v>0</v>
      </c>
      <c r="F7" s="6">
        <f t="shared" ref="F7:F40" si="1">E7/$E$41</f>
        <v>0</v>
      </c>
      <c r="G7" s="14">
        <f t="shared" ref="G7:G40" si="2">$C$4*F7</f>
        <v>0</v>
      </c>
      <c r="H7" s="10" t="e">
        <f t="shared" ref="H7:H40" si="3">G7/C7</f>
        <v>#DIV/0!</v>
      </c>
      <c r="J7" s="181"/>
      <c r="K7" s="181"/>
      <c r="L7" s="22"/>
    </row>
    <row r="8" spans="2:12" x14ac:dyDescent="0.25">
      <c r="B8" s="20" t="str">
        <f>+'County Data'!$B$42</f>
        <v>Wallowa</v>
      </c>
      <c r="C8" s="15">
        <f>VLOOKUP($B8,'County Data'!$B$10:$L$46,2,FALSE)</f>
        <v>0</v>
      </c>
      <c r="D8" s="29">
        <f>VLOOKUP($B8,'County Data'!$B$10:$L$46,5,FALSE)</f>
        <v>0.14899999999999999</v>
      </c>
      <c r="E8" s="31">
        <f t="shared" si="0"/>
        <v>0</v>
      </c>
      <c r="F8" s="6">
        <f t="shared" si="1"/>
        <v>0</v>
      </c>
      <c r="G8" s="14">
        <f t="shared" si="2"/>
        <v>0</v>
      </c>
      <c r="H8" s="10" t="e">
        <f t="shared" si="3"/>
        <v>#DIV/0!</v>
      </c>
      <c r="J8" s="181"/>
      <c r="K8" s="181"/>
      <c r="L8" s="22"/>
    </row>
    <row r="9" spans="2:12" x14ac:dyDescent="0.25">
      <c r="B9" s="20" t="str">
        <f>+'County Data'!$B$28</f>
        <v>Lake</v>
      </c>
      <c r="C9" s="15">
        <f>VLOOKUP($B9,'County Data'!$B$10:$L$46,2,FALSE)</f>
        <v>8075</v>
      </c>
      <c r="D9" s="29">
        <f>VLOOKUP($B9,'County Data'!$B$10:$L$46,5,FALSE)</f>
        <v>0.17899999999999999</v>
      </c>
      <c r="E9" s="31">
        <f t="shared" si="0"/>
        <v>1445.425</v>
      </c>
      <c r="F9" s="6">
        <f t="shared" si="1"/>
        <v>7.9962005703846702E-3</v>
      </c>
      <c r="G9" s="14">
        <f t="shared" si="2"/>
        <v>2173.6338550495661</v>
      </c>
      <c r="H9" s="10">
        <f t="shared" si="3"/>
        <v>0.26918066316403294</v>
      </c>
      <c r="J9" s="181"/>
      <c r="K9" s="181"/>
      <c r="L9" s="22"/>
    </row>
    <row r="10" spans="2:12" x14ac:dyDescent="0.25">
      <c r="B10" s="20" t="str">
        <f>+'County Data'!$B$44</f>
        <v>Washington</v>
      </c>
      <c r="C10" s="15">
        <f>VLOOKUP($B10,'County Data'!$B$10:$L$46,2,FALSE)</f>
        <v>0</v>
      </c>
      <c r="D10" s="29">
        <f>VLOOKUP($B10,'County Data'!$B$10:$L$46,5,FALSE)</f>
        <v>0.151</v>
      </c>
      <c r="E10" s="31">
        <f t="shared" si="0"/>
        <v>0</v>
      </c>
      <c r="F10" s="6">
        <f t="shared" si="1"/>
        <v>0</v>
      </c>
      <c r="G10" s="14">
        <f t="shared" si="2"/>
        <v>0</v>
      </c>
      <c r="H10" s="10" t="e">
        <f t="shared" si="3"/>
        <v>#DIV/0!</v>
      </c>
      <c r="J10" s="181"/>
      <c r="K10" s="181"/>
      <c r="L10" s="22"/>
    </row>
    <row r="11" spans="2:12" x14ac:dyDescent="0.25">
      <c r="B11" s="20" t="str">
        <f>+'County Data'!$B$10</f>
        <v>Baker</v>
      </c>
      <c r="C11" s="15">
        <f>VLOOKUP($B11,'County Data'!$B$10:$L$46,2,FALSE)</f>
        <v>16910</v>
      </c>
      <c r="D11" s="29">
        <f>VLOOKUP($B11,'County Data'!$B$10:$L$46,5,FALSE)</f>
        <v>0.18899999999999997</v>
      </c>
      <c r="E11" s="31">
        <f t="shared" si="0"/>
        <v>3195.9899999999993</v>
      </c>
      <c r="F11" s="6">
        <f t="shared" si="1"/>
        <v>1.7680458730784162E-2</v>
      </c>
      <c r="G11" s="14">
        <f t="shared" si="2"/>
        <v>4806.1380316514942</v>
      </c>
      <c r="H11" s="10">
        <f t="shared" si="3"/>
        <v>0.28421868903911851</v>
      </c>
      <c r="J11" s="181"/>
      <c r="K11" s="181"/>
      <c r="L11" s="22"/>
    </row>
    <row r="12" spans="2:12" x14ac:dyDescent="0.25">
      <c r="B12" s="20" t="str">
        <f>+'County Data'!$B$11</f>
        <v>Benton</v>
      </c>
      <c r="C12" s="15">
        <f>VLOOKUP($B12,'County Data'!$B$10:$L$46,2,FALSE)</f>
        <v>0</v>
      </c>
      <c r="D12" s="29">
        <f>VLOOKUP($B12,'County Data'!$B$10:$L$46,5,FALSE)</f>
        <v>0.113</v>
      </c>
      <c r="E12" s="31">
        <f t="shared" si="0"/>
        <v>0</v>
      </c>
      <c r="F12" s="6">
        <f t="shared" si="1"/>
        <v>0</v>
      </c>
      <c r="G12" s="14">
        <f t="shared" si="2"/>
        <v>0</v>
      </c>
      <c r="H12" s="10" t="e">
        <f t="shared" si="3"/>
        <v>#DIV/0!</v>
      </c>
      <c r="J12" s="181"/>
      <c r="K12" s="181"/>
      <c r="L12" s="22"/>
    </row>
    <row r="13" spans="2:12" x14ac:dyDescent="0.25">
      <c r="B13" s="20" t="str">
        <f>+'County Data'!$B$41</f>
        <v>Union</v>
      </c>
      <c r="C13" s="15">
        <f>VLOOKUP($B13,'County Data'!$B$10:$L$46,2,FALSE)</f>
        <v>26840</v>
      </c>
      <c r="D13" s="29">
        <f>VLOOKUP($B13,'County Data'!$B$10:$L$46,5,FALSE)</f>
        <v>0.106</v>
      </c>
      <c r="E13" s="31">
        <f t="shared" si="0"/>
        <v>2845.04</v>
      </c>
      <c r="F13" s="6">
        <f t="shared" si="1"/>
        <v>1.5738976751313419E-2</v>
      </c>
      <c r="G13" s="14">
        <f t="shared" si="2"/>
        <v>4278.3785135653643</v>
      </c>
      <c r="H13" s="10">
        <f t="shared" si="3"/>
        <v>0.15940307427590777</v>
      </c>
      <c r="J13" s="181"/>
      <c r="K13" s="181"/>
      <c r="L13" s="22"/>
    </row>
    <row r="14" spans="2:12" x14ac:dyDescent="0.25">
      <c r="B14" s="20" t="str">
        <f>+'County Data'!$B$37</f>
        <v>Polk</v>
      </c>
      <c r="C14" s="15">
        <f>VLOOKUP($B14,'County Data'!$B$10:$L$46,2,FALSE)</f>
        <v>83805</v>
      </c>
      <c r="D14" s="29">
        <f>VLOOKUP($B14,'County Data'!$B$10:$L$46,5,FALSE)</f>
        <v>0.183</v>
      </c>
      <c r="E14" s="31">
        <f t="shared" si="0"/>
        <v>15336.315000000001</v>
      </c>
      <c r="F14" s="6">
        <f t="shared" si="1"/>
        <v>8.4841656087724357E-2</v>
      </c>
      <c r="G14" s="14">
        <f t="shared" si="2"/>
        <v>23062.790179846404</v>
      </c>
      <c r="H14" s="10">
        <f t="shared" si="3"/>
        <v>0.27519587351406721</v>
      </c>
      <c r="J14" s="181"/>
      <c r="K14" s="181"/>
      <c r="L14" s="22"/>
    </row>
    <row r="15" spans="2:12" x14ac:dyDescent="0.25">
      <c r="B15" s="20" t="str">
        <f>+'County Data'!$B$12</f>
        <v>Clackamas</v>
      </c>
      <c r="C15" s="15">
        <f>VLOOKUP($B15,'County Data'!$B$10:$L$46,2,FALSE)</f>
        <v>0</v>
      </c>
      <c r="D15" s="29">
        <f>VLOOKUP($B15,'County Data'!$B$10:$L$46,5,FALSE)</f>
        <v>0.14499999999999999</v>
      </c>
      <c r="E15" s="31">
        <f t="shared" si="0"/>
        <v>0</v>
      </c>
      <c r="F15" s="6">
        <f t="shared" si="1"/>
        <v>0</v>
      </c>
      <c r="G15" s="14">
        <f t="shared" si="2"/>
        <v>0</v>
      </c>
      <c r="H15" s="10" t="e">
        <f t="shared" si="3"/>
        <v>#DIV/0!</v>
      </c>
      <c r="J15" s="181"/>
      <c r="K15" s="181"/>
      <c r="L15" s="22"/>
    </row>
    <row r="16" spans="2:12" x14ac:dyDescent="0.25">
      <c r="B16" s="20" t="str">
        <f>+'County Data'!$B$13</f>
        <v>Clatsop</v>
      </c>
      <c r="C16" s="15">
        <f>VLOOKUP($B16,'County Data'!$B$10:$L$46,2,FALSE)</f>
        <v>39455</v>
      </c>
      <c r="D16" s="29">
        <f>VLOOKUP($B16,'County Data'!$B$10:$L$46,5,FALSE)</f>
        <v>0.15</v>
      </c>
      <c r="E16" s="31">
        <f t="shared" si="0"/>
        <v>5918.25</v>
      </c>
      <c r="F16" s="6">
        <f t="shared" si="1"/>
        <v>3.2740207223258953E-2</v>
      </c>
      <c r="G16" s="14">
        <f t="shared" si="2"/>
        <v>8899.879663522559</v>
      </c>
      <c r="H16" s="10">
        <f t="shared" si="3"/>
        <v>0.2255703881262846</v>
      </c>
      <c r="J16" s="181"/>
      <c r="K16" s="181"/>
      <c r="L16" s="22"/>
    </row>
    <row r="17" spans="2:12" x14ac:dyDescent="0.25">
      <c r="B17" s="20" t="str">
        <f>+'County Data'!$B$36</f>
        <v>Gilliam, Sherman, Wasco</v>
      </c>
      <c r="C17" s="15">
        <f>VLOOKUP($B17,'County Data'!$B$10:$L$46,2,FALSE)</f>
        <v>31080</v>
      </c>
      <c r="D17" s="29">
        <f>VLOOKUP($B17,'County Data'!$B$10:$L$46,5,FALSE)</f>
        <v>0.13800000000000001</v>
      </c>
      <c r="E17" s="31">
        <f t="shared" si="0"/>
        <v>4289.04</v>
      </c>
      <c r="F17" s="6">
        <f t="shared" si="1"/>
        <v>2.3727294113774607E-2</v>
      </c>
      <c r="G17" s="14">
        <f t="shared" si="2"/>
        <v>6449.8694499277299</v>
      </c>
      <c r="H17" s="10">
        <f t="shared" si="3"/>
        <v>0.20752475707618179</v>
      </c>
      <c r="J17" s="181"/>
      <c r="K17" s="181"/>
      <c r="L17" s="22"/>
    </row>
    <row r="18" spans="2:12" x14ac:dyDescent="0.25">
      <c r="B18" s="20" t="str">
        <f>+'County Data'!$B$29</f>
        <v>Lane</v>
      </c>
      <c r="C18" s="15">
        <f>VLOOKUP($B18,'County Data'!$B$10:$L$46,2,FALSE)</f>
        <v>0</v>
      </c>
      <c r="D18" s="29">
        <f>VLOOKUP($B18,'County Data'!$B$10:$L$46,5,FALSE)</f>
        <v>0.16600000000000001</v>
      </c>
      <c r="E18" s="31">
        <f t="shared" si="0"/>
        <v>0</v>
      </c>
      <c r="F18" s="6">
        <f t="shared" si="1"/>
        <v>0</v>
      </c>
      <c r="G18" s="14">
        <f t="shared" si="2"/>
        <v>0</v>
      </c>
      <c r="H18" s="10" t="e">
        <f t="shared" si="3"/>
        <v>#DIV/0!</v>
      </c>
      <c r="J18" s="181"/>
      <c r="K18" s="181"/>
      <c r="L18" s="22"/>
    </row>
    <row r="19" spans="2:12" x14ac:dyDescent="0.25">
      <c r="B19" s="20" t="str">
        <f>+'County Data'!$B$35</f>
        <v>Multnomah</v>
      </c>
      <c r="C19" s="15">
        <f>VLOOKUP($B19,'County Data'!$B$10:$L$46,2,FALSE)</f>
        <v>0</v>
      </c>
      <c r="D19" s="29">
        <f>VLOOKUP($B19,'County Data'!$B$10:$L$46,5,FALSE)</f>
        <v>0.161</v>
      </c>
      <c r="E19" s="31">
        <f t="shared" si="0"/>
        <v>0</v>
      </c>
      <c r="F19" s="6">
        <f t="shared" si="1"/>
        <v>0</v>
      </c>
      <c r="G19" s="14">
        <f t="shared" si="2"/>
        <v>0</v>
      </c>
      <c r="H19" s="10" t="e">
        <f t="shared" si="3"/>
        <v>#DIV/0!</v>
      </c>
      <c r="J19" s="181"/>
      <c r="K19" s="181"/>
      <c r="L19" s="22"/>
    </row>
    <row r="20" spans="2:12" x14ac:dyDescent="0.25">
      <c r="B20" s="20" t="str">
        <f>+'County Data'!$B$21</f>
        <v>Grant</v>
      </c>
      <c r="C20" s="15">
        <f>VLOOKUP($B20,'County Data'!$B$10:$L$46,2,FALSE)</f>
        <v>7315</v>
      </c>
      <c r="D20" s="29">
        <f>VLOOKUP($B20,'County Data'!$B$10:$L$46,5,FALSE)</f>
        <v>0.155</v>
      </c>
      <c r="E20" s="31">
        <f t="shared" si="0"/>
        <v>1133.825</v>
      </c>
      <c r="F20" s="6">
        <f t="shared" si="1"/>
        <v>6.2724057711167295E-3</v>
      </c>
      <c r="G20" s="14">
        <f t="shared" si="2"/>
        <v>1705.0489687818974</v>
      </c>
      <c r="H20" s="10">
        <f t="shared" si="3"/>
        <v>0.23308940106382739</v>
      </c>
      <c r="J20" s="181"/>
      <c r="K20" s="181"/>
      <c r="L20" s="22"/>
    </row>
    <row r="21" spans="2:12" x14ac:dyDescent="0.25">
      <c r="B21" s="20" t="str">
        <f>+'County Data'!$B$24</f>
        <v>Jackson</v>
      </c>
      <c r="C21" s="15">
        <f>VLOOKUP($B21,'County Data'!$B$10:$L$46,2,FALSE)</f>
        <v>0</v>
      </c>
      <c r="D21" s="29">
        <f>VLOOKUP($B21,'County Data'!$B$10:$L$46,5,FALSE)</f>
        <v>0.184</v>
      </c>
      <c r="E21" s="31">
        <f t="shared" si="0"/>
        <v>0</v>
      </c>
      <c r="F21" s="6">
        <f t="shared" si="1"/>
        <v>0</v>
      </c>
      <c r="G21" s="14">
        <f t="shared" si="2"/>
        <v>0</v>
      </c>
      <c r="H21" s="10" t="e">
        <f t="shared" si="3"/>
        <v>#DIV/0!</v>
      </c>
      <c r="J21" s="181"/>
      <c r="K21" s="181"/>
      <c r="L21" s="22"/>
    </row>
    <row r="22" spans="2:12" x14ac:dyDescent="0.25">
      <c r="B22" s="20" t="str">
        <f>+'County Data'!$B$31</f>
        <v>Linn</v>
      </c>
      <c r="C22" s="15">
        <f>VLOOKUP($B22,'County Data'!$B$10:$L$46,2,FALSE)</f>
        <v>0</v>
      </c>
      <c r="D22" s="29">
        <f>VLOOKUP($B22,'County Data'!$B$10:$L$46,5,FALSE)</f>
        <v>0.18100000000000002</v>
      </c>
      <c r="E22" s="31">
        <f t="shared" si="0"/>
        <v>0</v>
      </c>
      <c r="F22" s="6">
        <f t="shared" si="1"/>
        <v>0</v>
      </c>
      <c r="G22" s="14">
        <f t="shared" si="2"/>
        <v>0</v>
      </c>
      <c r="H22" s="10" t="e">
        <f t="shared" si="3"/>
        <v>#DIV/0!</v>
      </c>
      <c r="J22" s="181"/>
      <c r="K22" s="181"/>
      <c r="L22" s="22"/>
    </row>
    <row r="23" spans="2:12" x14ac:dyDescent="0.25">
      <c r="B23" s="20" t="str">
        <f>+'County Data'!$B$25</f>
        <v>Jefferson</v>
      </c>
      <c r="C23" s="15">
        <f>VLOOKUP($B23,'County Data'!$B$10:$L$46,2,FALSE)</f>
        <v>24105</v>
      </c>
      <c r="D23" s="29">
        <f>VLOOKUP($B23,'County Data'!$B$10:$L$46,5,FALSE)</f>
        <v>0.13699999999999998</v>
      </c>
      <c r="E23" s="31">
        <f t="shared" si="0"/>
        <v>3302.3849999999998</v>
      </c>
      <c r="F23" s="6">
        <f t="shared" si="1"/>
        <v>1.8269043928692098E-2</v>
      </c>
      <c r="G23" s="14">
        <f t="shared" si="2"/>
        <v>4966.135107949468</v>
      </c>
      <c r="H23" s="10">
        <f t="shared" si="3"/>
        <v>0.20602095448867322</v>
      </c>
      <c r="J23" s="181"/>
      <c r="K23" s="181"/>
      <c r="L23" s="22"/>
    </row>
    <row r="24" spans="2:12" x14ac:dyDescent="0.25">
      <c r="B24" s="20" t="str">
        <f>+'County Data'!$B$46</f>
        <v>Yamhill</v>
      </c>
      <c r="C24" s="15">
        <f>VLOOKUP($B24,'County Data'!$B$10:$L$46,2,FALSE)</f>
        <v>108605</v>
      </c>
      <c r="D24" s="29">
        <f>VLOOKUP($B24,'County Data'!$B$10:$L$46,5,FALSE)</f>
        <v>0.184</v>
      </c>
      <c r="E24" s="31">
        <f t="shared" si="0"/>
        <v>19983.32</v>
      </c>
      <c r="F24" s="6">
        <f t="shared" si="1"/>
        <v>0.11054923969225618</v>
      </c>
      <c r="G24" s="14">
        <f t="shared" si="2"/>
        <v>30050.968323011635</v>
      </c>
      <c r="H24" s="10">
        <f t="shared" si="3"/>
        <v>0.27669967610157575</v>
      </c>
      <c r="J24" s="181"/>
      <c r="K24" s="181"/>
      <c r="L24" s="22"/>
    </row>
    <row r="25" spans="2:12" x14ac:dyDescent="0.25">
      <c r="B25" s="20" t="str">
        <f>+'County Data'!$B$26</f>
        <v>Josephine</v>
      </c>
      <c r="C25" s="15">
        <f>VLOOKUP($B25,'County Data'!$B$10:$L$46,2,FALSE)</f>
        <v>86560</v>
      </c>
      <c r="D25" s="29">
        <f>VLOOKUP($B25,'County Data'!$B$10:$L$46,5,FALSE)</f>
        <v>0.218</v>
      </c>
      <c r="E25" s="31">
        <f t="shared" si="0"/>
        <v>18870.080000000002</v>
      </c>
      <c r="F25" s="6">
        <f t="shared" si="1"/>
        <v>0.10439071170016041</v>
      </c>
      <c r="G25" s="14">
        <f t="shared" si="2"/>
        <v>28376.875130493605</v>
      </c>
      <c r="H25" s="10">
        <f t="shared" si="3"/>
        <v>0.32782896407686696</v>
      </c>
      <c r="J25" s="181"/>
      <c r="K25" s="181"/>
      <c r="L25" s="22"/>
    </row>
    <row r="26" spans="2:12" x14ac:dyDescent="0.25">
      <c r="B26" s="20" t="str">
        <f>+'County Data'!$B$14</f>
        <v>Columbia</v>
      </c>
      <c r="C26" s="15">
        <f>VLOOKUP($B26,'County Data'!$B$10:$L$46,2,FALSE)</f>
        <v>53280</v>
      </c>
      <c r="D26" s="29">
        <f>VLOOKUP($B26,'County Data'!$B$10:$L$46,5,FALSE)</f>
        <v>0.20499999999999999</v>
      </c>
      <c r="E26" s="31">
        <f t="shared" si="0"/>
        <v>10922.4</v>
      </c>
      <c r="F26" s="6">
        <f t="shared" si="1"/>
        <v>6.0423544016444654E-2</v>
      </c>
      <c r="G26" s="14">
        <f t="shared" si="2"/>
        <v>16425.133381803538</v>
      </c>
      <c r="H26" s="10">
        <f t="shared" si="3"/>
        <v>0.3082795304392556</v>
      </c>
      <c r="J26" s="181"/>
      <c r="K26" s="181"/>
      <c r="L26" s="22"/>
    </row>
    <row r="27" spans="2:12" x14ac:dyDescent="0.25">
      <c r="B27" s="20" t="str">
        <f>+'County Data'!$B$39</f>
        <v>Tillamook</v>
      </c>
      <c r="C27" s="15">
        <f>VLOOKUP($B27,'County Data'!$B$10:$L$46,2,FALSE)</f>
        <v>26530</v>
      </c>
      <c r="D27" s="29">
        <f>VLOOKUP($B27,'County Data'!$B$10:$L$46,5,FALSE)</f>
        <v>0.16899999999999998</v>
      </c>
      <c r="E27" s="31">
        <f t="shared" si="0"/>
        <v>4483.57</v>
      </c>
      <c r="F27" s="6">
        <f t="shared" si="1"/>
        <v>2.48034488066552E-2</v>
      </c>
      <c r="G27" s="14">
        <f t="shared" si="2"/>
        <v>6742.4041672757712</v>
      </c>
      <c r="H27" s="10">
        <f t="shared" si="3"/>
        <v>0.25414263728894726</v>
      </c>
      <c r="J27" s="181"/>
      <c r="K27" s="181"/>
      <c r="L27" s="22"/>
    </row>
    <row r="28" spans="2:12" x14ac:dyDescent="0.25">
      <c r="B28" s="20" t="str">
        <f>+'County Data'!$B$33</f>
        <v>Marion</v>
      </c>
      <c r="C28" s="15">
        <f>VLOOKUP($B28,'County Data'!$B$10:$L$46,2,FALSE)</f>
        <v>0</v>
      </c>
      <c r="D28" s="29">
        <f>VLOOKUP($B28,'County Data'!$B$10:$L$46,5,FALSE)</f>
        <v>0.192</v>
      </c>
      <c r="E28" s="31">
        <f t="shared" si="0"/>
        <v>0</v>
      </c>
      <c r="F28" s="6">
        <f t="shared" si="1"/>
        <v>0</v>
      </c>
      <c r="G28" s="14">
        <f t="shared" si="2"/>
        <v>0</v>
      </c>
      <c r="H28" s="10" t="e">
        <f t="shared" si="3"/>
        <v>#DIV/0!</v>
      </c>
      <c r="J28" s="181"/>
      <c r="K28" s="181"/>
      <c r="L28" s="22"/>
    </row>
    <row r="29" spans="2:12" x14ac:dyDescent="0.25">
      <c r="B29" s="20" t="str">
        <f>+'County Data'!$B$23</f>
        <v>Hood River</v>
      </c>
      <c r="C29" s="15">
        <f>VLOOKUP($B29,'County Data'!$B$10:$L$46,2,FALSE)</f>
        <v>25640</v>
      </c>
      <c r="D29" s="29">
        <f>VLOOKUP($B29,'County Data'!$B$10:$L$46,5,FALSE)</f>
        <v>0.16399999999999998</v>
      </c>
      <c r="E29" s="31">
        <f t="shared" si="0"/>
        <v>4204.9599999999991</v>
      </c>
      <c r="F29" s="6">
        <f t="shared" si="1"/>
        <v>2.3262157185910522E-2</v>
      </c>
      <c r="G29" s="14">
        <f t="shared" si="2"/>
        <v>6323.4297283700098</v>
      </c>
      <c r="H29" s="10">
        <f t="shared" si="3"/>
        <v>0.24662362435140445</v>
      </c>
      <c r="J29" s="181"/>
      <c r="K29" s="181"/>
      <c r="L29" s="22"/>
    </row>
    <row r="30" spans="2:12" x14ac:dyDescent="0.25">
      <c r="B30" s="20" t="str">
        <f>+'County Data'!$B$30</f>
        <v>Lincoln</v>
      </c>
      <c r="C30" s="15">
        <f>VLOOKUP($B30,'County Data'!$B$10:$L$46,2,FALSE)</f>
        <v>0</v>
      </c>
      <c r="D30" s="29">
        <f>VLOOKUP($B30,'County Data'!$B$10:$L$46,5,FALSE)</f>
        <v>0.21299999999999999</v>
      </c>
      <c r="E30" s="31">
        <f t="shared" si="0"/>
        <v>0</v>
      </c>
      <c r="F30" s="6">
        <f t="shared" si="1"/>
        <v>0</v>
      </c>
      <c r="G30" s="14">
        <f t="shared" si="2"/>
        <v>0</v>
      </c>
      <c r="H30" s="10" t="e">
        <f t="shared" si="3"/>
        <v>#DIV/0!</v>
      </c>
      <c r="J30" s="181"/>
      <c r="K30" s="181"/>
      <c r="L30" s="22"/>
    </row>
    <row r="31" spans="2:12" x14ac:dyDescent="0.25">
      <c r="B31" s="20" t="str">
        <f>+'County Data'!$B$27</f>
        <v>Klamath</v>
      </c>
      <c r="C31" s="15">
        <f>VLOOKUP($B31,'County Data'!$B$10:$L$46,2,FALSE)</f>
        <v>68075</v>
      </c>
      <c r="D31" s="29">
        <f>VLOOKUP($B31,'County Data'!$B$10:$L$46,5,FALSE)</f>
        <v>0.17399999999999999</v>
      </c>
      <c r="E31" s="31">
        <f t="shared" si="0"/>
        <v>11845.05</v>
      </c>
      <c r="F31" s="6">
        <f t="shared" si="1"/>
        <v>6.5527713694058784E-2</v>
      </c>
      <c r="G31" s="14">
        <f t="shared" si="2"/>
        <v>17812.616839168313</v>
      </c>
      <c r="H31" s="10">
        <f t="shared" si="3"/>
        <v>0.26166165022649007</v>
      </c>
      <c r="J31" s="181"/>
      <c r="K31" s="181"/>
      <c r="L31" s="22"/>
    </row>
    <row r="32" spans="2:12" x14ac:dyDescent="0.25">
      <c r="B32" s="20" t="str">
        <f>+'County Data'!$B$15</f>
        <v>Coos</v>
      </c>
      <c r="C32" s="15">
        <f>VLOOKUP($B32,'County Data'!$B$10:$L$46,2,FALSE)</f>
        <v>63315</v>
      </c>
      <c r="D32" s="29">
        <f>VLOOKUP($B32,'County Data'!$B$10:$L$46,5,FALSE)</f>
        <v>0.214</v>
      </c>
      <c r="E32" s="31">
        <f t="shared" si="0"/>
        <v>13549.41</v>
      </c>
      <c r="F32" s="6">
        <f t="shared" si="1"/>
        <v>7.4956362295086731E-2</v>
      </c>
      <c r="G32" s="14">
        <f t="shared" si="2"/>
        <v>20375.637817214407</v>
      </c>
      <c r="H32" s="10">
        <f t="shared" si="3"/>
        <v>0.32181375372683263</v>
      </c>
      <c r="J32" s="181"/>
      <c r="K32" s="181"/>
      <c r="L32" s="22"/>
    </row>
    <row r="33" spans="2:12" x14ac:dyDescent="0.25">
      <c r="B33" s="20" t="str">
        <f>+'County Data'!$B$40</f>
        <v>Umatilla</v>
      </c>
      <c r="C33" s="15">
        <f>VLOOKUP($B33,'County Data'!$B$10:$L$46,2,FALSE)</f>
        <v>81495</v>
      </c>
      <c r="D33" s="29">
        <f>VLOOKUP($B33,'County Data'!$B$10:$L$46,5,FALSE)</f>
        <v>0.184</v>
      </c>
      <c r="E33" s="31">
        <f t="shared" si="0"/>
        <v>14995.08</v>
      </c>
      <c r="F33" s="6">
        <f t="shared" si="1"/>
        <v>8.2953918224026674E-2</v>
      </c>
      <c r="G33" s="14">
        <f t="shared" si="2"/>
        <v>22549.640103897917</v>
      </c>
      <c r="H33" s="10">
        <f t="shared" si="3"/>
        <v>0.27669967610157575</v>
      </c>
      <c r="J33" s="181"/>
      <c r="K33" s="181"/>
      <c r="L33" s="22"/>
    </row>
    <row r="34" spans="2:12" x14ac:dyDescent="0.25">
      <c r="B34" s="20" t="str">
        <f>+'County Data'!$B$19</f>
        <v>Douglas</v>
      </c>
      <c r="C34" s="15">
        <f>VLOOKUP($B34,'County Data'!$B$10:$L$46,2,FALSE)</f>
        <v>112530</v>
      </c>
      <c r="D34" s="29">
        <f>VLOOKUP($B34,'County Data'!$B$10:$L$46,5,FALSE)</f>
        <v>0.222</v>
      </c>
      <c r="E34" s="31">
        <f t="shared" si="0"/>
        <v>24981.66</v>
      </c>
      <c r="F34" s="6">
        <f t="shared" si="1"/>
        <v>0.13820043512541702</v>
      </c>
      <c r="G34" s="14">
        <f t="shared" si="2"/>
        <v>37567.484948259189</v>
      </c>
      <c r="H34" s="10">
        <f t="shared" si="3"/>
        <v>0.33384417442690117</v>
      </c>
      <c r="J34" s="181"/>
      <c r="K34" s="181"/>
      <c r="L34" s="22"/>
    </row>
    <row r="35" spans="2:12" x14ac:dyDescent="0.25">
      <c r="B35" s="20" t="str">
        <f>+'County Data'!$B$17</f>
        <v>Curry</v>
      </c>
      <c r="C35" s="15">
        <f>VLOOKUP($B35,'County Data'!$B$10:$L$46,2,FALSE)</f>
        <v>0</v>
      </c>
      <c r="D35" s="29">
        <f>VLOOKUP($B35,'County Data'!$B$10:$L$46,5,FALSE)</f>
        <v>0.20399999999999999</v>
      </c>
      <c r="E35" s="31">
        <f t="shared" si="0"/>
        <v>0</v>
      </c>
      <c r="F35" s="6">
        <f t="shared" si="1"/>
        <v>0</v>
      </c>
      <c r="G35" s="14">
        <f t="shared" si="2"/>
        <v>0</v>
      </c>
      <c r="H35" s="10" t="e">
        <f t="shared" si="3"/>
        <v>#DIV/0!</v>
      </c>
      <c r="J35" s="181"/>
      <c r="K35" s="181"/>
      <c r="L35" s="22"/>
    </row>
    <row r="36" spans="2:12" x14ac:dyDescent="0.25">
      <c r="B36" s="20" t="str">
        <f>+'County Data'!$B$16</f>
        <v>Crook</v>
      </c>
      <c r="C36" s="15">
        <f>VLOOKUP($B36,'County Data'!$B$10:$L$46,2,FALSE)</f>
        <v>23440</v>
      </c>
      <c r="D36" s="29">
        <f>VLOOKUP($B36,'County Data'!$B$10:$L$46,5,FALSE)</f>
        <v>0.23</v>
      </c>
      <c r="E36" s="31">
        <f t="shared" si="0"/>
        <v>5391.2</v>
      </c>
      <c r="F36" s="6">
        <f t="shared" si="1"/>
        <v>2.9824526706717976E-2</v>
      </c>
      <c r="G36" s="14">
        <f t="shared" si="2"/>
        <v>8107.3005097761697</v>
      </c>
      <c r="H36" s="10">
        <f t="shared" si="3"/>
        <v>0.34587459512696972</v>
      </c>
      <c r="J36" s="181"/>
      <c r="K36" s="181"/>
      <c r="L36" s="22"/>
    </row>
    <row r="37" spans="2:12" x14ac:dyDescent="0.25">
      <c r="B37" s="20" t="str">
        <f>+'County Data'!$B$34</f>
        <v>Morrow</v>
      </c>
      <c r="C37" s="15">
        <f>VLOOKUP($B37,'County Data'!$B$10:$L$46,2,FALSE)</f>
        <v>12825</v>
      </c>
      <c r="D37" s="29">
        <f>VLOOKUP($B37,'County Data'!$B$10:$L$46,5,FALSE)</f>
        <v>0.312</v>
      </c>
      <c r="E37" s="31">
        <f t="shared" si="0"/>
        <v>4001.4</v>
      </c>
      <c r="F37" s="6">
        <f t="shared" si="1"/>
        <v>2.2136047849135872E-2</v>
      </c>
      <c r="G37" s="14">
        <f t="shared" si="2"/>
        <v>6017.3156736567671</v>
      </c>
      <c r="H37" s="10">
        <f t="shared" si="3"/>
        <v>0.46918640730267192</v>
      </c>
      <c r="J37" s="181"/>
      <c r="K37" s="181"/>
      <c r="L37" s="22"/>
    </row>
    <row r="38" spans="2:12" x14ac:dyDescent="0.25">
      <c r="B38" s="20" t="str">
        <f>+'County Data'!$B$22</f>
        <v>Harney</v>
      </c>
      <c r="C38" s="15">
        <f>VLOOKUP($B38,'County Data'!$B$10:$L$46,2,FALSE)</f>
        <v>7280</v>
      </c>
      <c r="D38" s="29">
        <f>VLOOKUP($B38,'County Data'!$B$10:$L$46,5,FALSE)</f>
        <v>0.122</v>
      </c>
      <c r="E38" s="31">
        <f t="shared" si="0"/>
        <v>888.16</v>
      </c>
      <c r="F38" s="6">
        <f t="shared" si="1"/>
        <v>4.9133683854872085E-3</v>
      </c>
      <c r="G38" s="14">
        <f t="shared" si="2"/>
        <v>1335.6173061216061</v>
      </c>
      <c r="H38" s="10">
        <f t="shared" si="3"/>
        <v>0.18346391567604481</v>
      </c>
      <c r="J38" s="181"/>
      <c r="K38" s="181"/>
      <c r="L38" s="22"/>
    </row>
    <row r="39" spans="2:12" x14ac:dyDescent="0.25">
      <c r="B39" s="20" t="str">
        <f>+'County Data'!$B$32</f>
        <v>Malheur</v>
      </c>
      <c r="C39" s="15">
        <f>VLOOKUP($B39,'County Data'!$B$10:$L$46,2,FALSE)</f>
        <v>32105</v>
      </c>
      <c r="D39" s="29">
        <f>VLOOKUP($B39,'County Data'!$B$10:$L$46,5,FALSE)</f>
        <v>0.27100000000000002</v>
      </c>
      <c r="E39" s="31">
        <f t="shared" si="0"/>
        <v>8700.4549999999999</v>
      </c>
      <c r="F39" s="6">
        <f t="shared" si="1"/>
        <v>4.8131575995714861E-2</v>
      </c>
      <c r="G39" s="14">
        <f t="shared" si="2"/>
        <v>13083.766741501822</v>
      </c>
      <c r="H39" s="10">
        <f t="shared" si="3"/>
        <v>0.40753050121482082</v>
      </c>
      <c r="J39" s="181"/>
      <c r="K39" s="181"/>
      <c r="L39" s="22"/>
    </row>
    <row r="40" spans="2:12" x14ac:dyDescent="0.2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Data'!$B$10:$L$46,5,FALSE)</f>
        <v>0.33399999999999996</v>
      </c>
      <c r="E40" s="31">
        <f t="shared" si="0"/>
        <v>480.95999999999992</v>
      </c>
      <c r="F40" s="6">
        <f t="shared" si="1"/>
        <v>2.6607071458790393E-3</v>
      </c>
      <c r="G40" s="14">
        <f t="shared" si="2"/>
        <v>723.26889248811881</v>
      </c>
      <c r="H40" s="10">
        <f t="shared" si="3"/>
        <v>0.50227006422786025</v>
      </c>
      <c r="J40" s="181"/>
      <c r="K40" s="181"/>
      <c r="L40" s="22"/>
    </row>
    <row r="41" spans="2:12" x14ac:dyDescent="0.25">
      <c r="B41" s="4" t="s">
        <v>2</v>
      </c>
      <c r="C41" s="5">
        <f>SUM(C6:C40)</f>
        <v>940705</v>
      </c>
      <c r="D41" s="5">
        <f>SUM(D6:D40)</f>
        <v>6.2360000000000015</v>
      </c>
      <c r="E41" s="5">
        <f>SUM(E6:E40)</f>
        <v>180763.97499999998</v>
      </c>
      <c r="F41" s="8">
        <f>SUM(F6:F40)</f>
        <v>1</v>
      </c>
      <c r="G41" s="11">
        <f>SUM(G6:G40)</f>
        <v>271833.33333333331</v>
      </c>
      <c r="H41" s="12">
        <f t="shared" ref="H41" si="4">G41/C41</f>
        <v>0.28896767140956336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2000000</v>
      </c>
    </row>
    <row r="4" spans="2:8" x14ac:dyDescent="0.25">
      <c r="B4" t="s">
        <v>41</v>
      </c>
      <c r="C4" s="14">
        <f>'County Data'!G9</f>
        <v>271833.33333333331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Data'!$B$10:$L$46,6,FALSE)</f>
        <v>6.1711079943899017E-2</v>
      </c>
      <c r="E7" s="31">
        <f t="shared" ref="E7:E40" si="0">C7*D7</f>
        <v>88.86395511921458</v>
      </c>
      <c r="F7" s="6">
        <f t="shared" ref="F7:F40" si="1">E7/$E$41</f>
        <v>8.8225404326831608E-4</v>
      </c>
      <c r="G7" s="14">
        <f t="shared" ref="G7:G40" si="2">$C$4*F7</f>
        <v>239.82605742843722</v>
      </c>
      <c r="H7" s="10">
        <f t="shared" ref="H7:H40" si="3">G7/C7</f>
        <v>0.16654587321419251</v>
      </c>
    </row>
    <row r="8" spans="2:8" x14ac:dyDescent="0.25">
      <c r="B8" s="20" t="str">
        <f>+'County Data'!$B$42</f>
        <v>Wallowa</v>
      </c>
      <c r="C8" s="15">
        <f>VLOOKUP($B8,'County Data'!$B$10:$L$46,2,FALSE)</f>
        <v>0</v>
      </c>
      <c r="D8" s="29">
        <f>VLOOKUP($B8,'County Data'!$B$10:$L$46,6,FALSE)</f>
        <v>4.9393414211438474E-2</v>
      </c>
      <c r="E8" s="31">
        <f t="shared" si="0"/>
        <v>0</v>
      </c>
      <c r="F8" s="6">
        <f t="shared" si="1"/>
        <v>0</v>
      </c>
      <c r="G8" s="14">
        <f t="shared" si="2"/>
        <v>0</v>
      </c>
      <c r="H8" s="10" t="e">
        <f t="shared" si="3"/>
        <v>#DIV/0!</v>
      </c>
    </row>
    <row r="9" spans="2:8" x14ac:dyDescent="0.25">
      <c r="B9" s="20" t="str">
        <f>+'County Data'!$B$21</f>
        <v>Grant</v>
      </c>
      <c r="C9" s="15">
        <f>VLOOKUP($B9,'County Data'!$B$10:$L$46,2,FALSE)</f>
        <v>7315</v>
      </c>
      <c r="D9" s="29">
        <f>VLOOKUP($B9,'County Data'!$B$10:$L$46,6,FALSE)</f>
        <v>5.3181122093832661E-2</v>
      </c>
      <c r="E9" s="31">
        <f t="shared" si="0"/>
        <v>389.01990811638592</v>
      </c>
      <c r="F9" s="6">
        <f t="shared" si="1"/>
        <v>3.8622452307813032E-3</v>
      </c>
      <c r="G9" s="14">
        <f t="shared" si="2"/>
        <v>1049.8869952340508</v>
      </c>
      <c r="H9" s="10">
        <f t="shared" si="3"/>
        <v>0.14352522149474378</v>
      </c>
    </row>
    <row r="10" spans="2:8" x14ac:dyDescent="0.25">
      <c r="B10" s="20" t="str">
        <f>+'County Data'!$B$10</f>
        <v>Baker</v>
      </c>
      <c r="C10" s="15">
        <f>VLOOKUP($B10,'County Data'!$B$10:$L$46,2,FALSE)</f>
        <v>16910</v>
      </c>
      <c r="D10" s="29">
        <f>VLOOKUP($B10,'County Data'!$B$10:$L$46,6,FALSE)</f>
        <v>7.063313313313313E-2</v>
      </c>
      <c r="E10" s="31">
        <f t="shared" si="0"/>
        <v>1194.4062812812813</v>
      </c>
      <c r="F10" s="6">
        <f t="shared" si="1"/>
        <v>1.1858236216830652E-2</v>
      </c>
      <c r="G10" s="14">
        <f t="shared" si="2"/>
        <v>3223.4638782751322</v>
      </c>
      <c r="H10" s="10">
        <f t="shared" si="3"/>
        <v>0.19062471190272809</v>
      </c>
    </row>
    <row r="11" spans="2:8" x14ac:dyDescent="0.25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Data'!$B$10:$L$46,6,FALSE)</f>
        <v>7.9414476717381277E-2</v>
      </c>
      <c r="E11" s="31">
        <f t="shared" si="0"/>
        <v>2131.4845550945133</v>
      </c>
      <c r="F11" s="6">
        <f t="shared" si="1"/>
        <v>2.1161683208600394E-2</v>
      </c>
      <c r="G11" s="14">
        <f t="shared" si="2"/>
        <v>5752.4508855378735</v>
      </c>
      <c r="H11" s="10">
        <f t="shared" si="3"/>
        <v>0.21432380348501764</v>
      </c>
    </row>
    <row r="12" spans="2:8" x14ac:dyDescent="0.25">
      <c r="B12" s="20" t="str">
        <f>+'County Data'!$B$14</f>
        <v>Columbia</v>
      </c>
      <c r="C12" s="15">
        <f>VLOOKUP($B12,'County Data'!$B$10:$L$46,2,FALSE)</f>
        <v>53280</v>
      </c>
      <c r="D12" s="29">
        <f>VLOOKUP($B12,'County Data'!$B$10:$L$46,6,FALSE)</f>
        <v>7.1640675699592926E-2</v>
      </c>
      <c r="E12" s="31">
        <f t="shared" si="0"/>
        <v>3817.015201274311</v>
      </c>
      <c r="F12" s="6">
        <f t="shared" si="1"/>
        <v>3.7895872291787439E-2</v>
      </c>
      <c r="G12" s="14">
        <f t="shared" si="2"/>
        <v>10301.361284650884</v>
      </c>
      <c r="H12" s="10">
        <f t="shared" si="3"/>
        <v>0.19334386795515923</v>
      </c>
    </row>
    <row r="13" spans="2:8" x14ac:dyDescent="0.25">
      <c r="B13" s="20" t="str">
        <f>+'County Data'!$B$19</f>
        <v>Douglas</v>
      </c>
      <c r="C13" s="15">
        <f>VLOOKUP($B13,'County Data'!$B$10:$L$46,2,FALSE)</f>
        <v>112530</v>
      </c>
      <c r="D13" s="29">
        <f>VLOOKUP($B13,'County Data'!$B$10:$L$46,6,FALSE)</f>
        <v>7.483175318261126E-2</v>
      </c>
      <c r="E13" s="31">
        <f t="shared" si="0"/>
        <v>8420.8171856392455</v>
      </c>
      <c r="F13" s="6">
        <f t="shared" si="1"/>
        <v>8.3603076181865202E-2</v>
      </c>
      <c r="G13" s="14">
        <f t="shared" si="2"/>
        <v>22726.102875437024</v>
      </c>
      <c r="H13" s="10">
        <f t="shared" si="3"/>
        <v>0.20195594841763995</v>
      </c>
    </row>
    <row r="14" spans="2:8" x14ac:dyDescent="0.25">
      <c r="B14" s="20" t="str">
        <f>+'County Data'!$B$16</f>
        <v>Crook</v>
      </c>
      <c r="C14" s="15">
        <f>VLOOKUP($B14,'County Data'!$B$10:$L$46,2,FALSE)</f>
        <v>23440</v>
      </c>
      <c r="D14" s="29">
        <f>VLOOKUP($B14,'County Data'!$B$10:$L$46,6,FALSE)</f>
        <v>7.2167256122129209E-2</v>
      </c>
      <c r="E14" s="31">
        <f t="shared" si="0"/>
        <v>1691.6004835027086</v>
      </c>
      <c r="F14" s="6">
        <f t="shared" si="1"/>
        <v>1.6794451295384722E-2</v>
      </c>
      <c r="G14" s="14">
        <f t="shared" si="2"/>
        <v>4565.2916771287464</v>
      </c>
      <c r="H14" s="10">
        <f t="shared" si="3"/>
        <v>0.19476500329047552</v>
      </c>
    </row>
    <row r="15" spans="2:8" x14ac:dyDescent="0.25">
      <c r="B15" s="20" t="str">
        <f>+'County Data'!$B$18</f>
        <v>Deschutes</v>
      </c>
      <c r="C15" s="15">
        <f>VLOOKUP($B15,'County Data'!$B$10:$L$46,2,FALSE)</f>
        <v>0</v>
      </c>
      <c r="D15" s="29">
        <f>VLOOKUP($B15,'County Data'!$B$10:$L$46,6,FALSE)</f>
        <v>6.5085252435783877E-2</v>
      </c>
      <c r="E15" s="31">
        <f t="shared" si="0"/>
        <v>0</v>
      </c>
      <c r="F15" s="6">
        <f t="shared" si="1"/>
        <v>0</v>
      </c>
      <c r="G15" s="14">
        <f t="shared" si="2"/>
        <v>0</v>
      </c>
      <c r="H15" s="10" t="e">
        <f t="shared" si="3"/>
        <v>#DIV/0!</v>
      </c>
    </row>
    <row r="16" spans="2:8" x14ac:dyDescent="0.25">
      <c r="B16" s="20" t="str">
        <f>+'County Data'!$B$26</f>
        <v>Josephine</v>
      </c>
      <c r="C16" s="15">
        <f>VLOOKUP($B16,'County Data'!$B$10:$L$46,2,FALSE)</f>
        <v>86560</v>
      </c>
      <c r="D16" s="29">
        <f>VLOOKUP($B16,'County Data'!$B$10:$L$46,6,FALSE)</f>
        <v>7.9491348954738486E-2</v>
      </c>
      <c r="E16" s="31">
        <f t="shared" si="0"/>
        <v>6880.7711655221638</v>
      </c>
      <c r="F16" s="6">
        <f t="shared" si="1"/>
        <v>6.8313279253011339E-2</v>
      </c>
      <c r="G16" s="14">
        <f t="shared" si="2"/>
        <v>18569.826410276914</v>
      </c>
      <c r="H16" s="10">
        <f t="shared" si="3"/>
        <v>0.21453126629247821</v>
      </c>
    </row>
    <row r="17" spans="2:8" x14ac:dyDescent="0.25">
      <c r="B17" s="20" t="str">
        <f>+'County Data'!$B$17</f>
        <v>Curry</v>
      </c>
      <c r="C17" s="15">
        <f>VLOOKUP($B17,'County Data'!$B$10:$L$46,2,FALSE)</f>
        <v>0</v>
      </c>
      <c r="D17" s="29">
        <f>VLOOKUP($B17,'County Data'!$B$10:$L$46,6,FALSE)</f>
        <v>9.2726707246634385E-2</v>
      </c>
      <c r="E17" s="31">
        <f t="shared" si="0"/>
        <v>0</v>
      </c>
      <c r="F17" s="6">
        <f t="shared" si="1"/>
        <v>0</v>
      </c>
      <c r="G17" s="14">
        <f t="shared" si="2"/>
        <v>0</v>
      </c>
      <c r="H17" s="10" t="e">
        <f t="shared" si="3"/>
        <v>#DIV/0!</v>
      </c>
    </row>
    <row r="18" spans="2:8" x14ac:dyDescent="0.25">
      <c r="B18" s="20" t="str">
        <f>+'County Data'!$B$22</f>
        <v>Harney</v>
      </c>
      <c r="C18" s="15">
        <f>VLOOKUP($B18,'County Data'!$B$10:$L$46,2,FALSE)</f>
        <v>7280</v>
      </c>
      <c r="D18" s="29">
        <f>VLOOKUP($B18,'County Data'!$B$10:$L$46,6,FALSE)</f>
        <v>9.0896513558384059E-2</v>
      </c>
      <c r="E18" s="31">
        <f t="shared" si="0"/>
        <v>661.726618705036</v>
      </c>
      <c r="F18" s="6">
        <f t="shared" si="1"/>
        <v>6.5697164177262119E-3</v>
      </c>
      <c r="G18" s="14">
        <f t="shared" si="2"/>
        <v>1785.8679128852418</v>
      </c>
      <c r="H18" s="10">
        <f t="shared" si="3"/>
        <v>0.24531152649522553</v>
      </c>
    </row>
    <row r="19" spans="2:8" x14ac:dyDescent="0.25">
      <c r="B19" s="20" t="str">
        <f>+'County Data'!$B$13</f>
        <v>Clatsop</v>
      </c>
      <c r="C19" s="15">
        <f>VLOOKUP($B19,'County Data'!$B$10:$L$46,2,FALSE)</f>
        <v>39455</v>
      </c>
      <c r="D19" s="29">
        <f>VLOOKUP($B19,'County Data'!$B$10:$L$46,6,FALSE)</f>
        <v>8.7962242622270634E-2</v>
      </c>
      <c r="E19" s="31">
        <f t="shared" si="0"/>
        <v>3470.550282661688</v>
      </c>
      <c r="F19" s="6">
        <f t="shared" si="1"/>
        <v>3.4456119077038598E-2</v>
      </c>
      <c r="G19" s="14">
        <f t="shared" si="2"/>
        <v>9366.321702441659</v>
      </c>
      <c r="H19" s="10">
        <f t="shared" si="3"/>
        <v>0.23739251558589936</v>
      </c>
    </row>
    <row r="20" spans="2:8" x14ac:dyDescent="0.25">
      <c r="B20" s="20" t="str">
        <f>+'County Data'!$B$31</f>
        <v>Linn</v>
      </c>
      <c r="C20" s="15">
        <f>VLOOKUP($B20,'County Data'!$B$10:$L$46,2,FALSE)</f>
        <v>0</v>
      </c>
      <c r="D20" s="29">
        <f>VLOOKUP($B20,'County Data'!$B$10:$L$46,6,FALSE)</f>
        <v>9.5881826320501337E-2</v>
      </c>
      <c r="E20" s="31">
        <f t="shared" si="0"/>
        <v>0</v>
      </c>
      <c r="F20" s="6">
        <f t="shared" si="1"/>
        <v>0</v>
      </c>
      <c r="G20" s="14">
        <f t="shared" si="2"/>
        <v>0</v>
      </c>
      <c r="H20" s="10" t="e">
        <f t="shared" si="3"/>
        <v>#DIV/0!</v>
      </c>
    </row>
    <row r="21" spans="2:8" x14ac:dyDescent="0.25">
      <c r="B21" s="20" t="str">
        <f>+'County Data'!$B$15</f>
        <v>Coos</v>
      </c>
      <c r="C21" s="15">
        <f>VLOOKUP($B21,'County Data'!$B$10:$L$46,2,FALSE)</f>
        <v>63315</v>
      </c>
      <c r="D21" s="29">
        <f>VLOOKUP($B21,'County Data'!$B$10:$L$46,6,FALSE)</f>
        <v>0.11684147343147785</v>
      </c>
      <c r="E21" s="31">
        <f t="shared" si="0"/>
        <v>7397.8178903140206</v>
      </c>
      <c r="F21" s="6">
        <f t="shared" si="1"/>
        <v>7.344659301216476E-2</v>
      </c>
      <c r="G21" s="14">
        <f t="shared" si="2"/>
        <v>19965.232200473452</v>
      </c>
      <c r="H21" s="10">
        <f t="shared" si="3"/>
        <v>0.31533178868314699</v>
      </c>
    </row>
    <row r="22" spans="2:8" x14ac:dyDescent="0.25">
      <c r="B22" s="20" t="str">
        <f>+'County Data'!$B$28</f>
        <v>Lake</v>
      </c>
      <c r="C22" s="15">
        <f>VLOOKUP($B22,'County Data'!$B$10:$L$46,2,FALSE)</f>
        <v>8075</v>
      </c>
      <c r="D22" s="29">
        <f>VLOOKUP($B22,'County Data'!$B$10:$L$46,6,FALSE)</f>
        <v>8.9506566364911389E-2</v>
      </c>
      <c r="E22" s="31">
        <f t="shared" si="0"/>
        <v>722.76552339665943</v>
      </c>
      <c r="F22" s="6">
        <f t="shared" si="1"/>
        <v>7.1757193847178319E-3</v>
      </c>
      <c r="G22" s="14">
        <f t="shared" si="2"/>
        <v>1950.5997194124639</v>
      </c>
      <c r="H22" s="10">
        <f t="shared" si="3"/>
        <v>0.24156033676934538</v>
      </c>
    </row>
    <row r="23" spans="2:8" x14ac:dyDescent="0.25">
      <c r="B23" s="20" t="str">
        <f>+'County Data'!$B$39</f>
        <v>Tillamook</v>
      </c>
      <c r="C23" s="15">
        <f>VLOOKUP($B23,'County Data'!$B$10:$L$46,2,FALSE)</f>
        <v>26530</v>
      </c>
      <c r="D23" s="29">
        <f>VLOOKUP($B23,'County Data'!$B$10:$L$46,6,FALSE)</f>
        <v>7.5088203712225798E-2</v>
      </c>
      <c r="E23" s="31">
        <f t="shared" si="0"/>
        <v>1992.0900444853505</v>
      </c>
      <c r="F23" s="6">
        <f t="shared" si="1"/>
        <v>1.977775459064323E-2</v>
      </c>
      <c r="G23" s="14">
        <f t="shared" si="2"/>
        <v>5376.2529562231848</v>
      </c>
      <c r="H23" s="10">
        <f t="shared" si="3"/>
        <v>0.20264805715126968</v>
      </c>
    </row>
    <row r="24" spans="2:8" x14ac:dyDescent="0.25">
      <c r="B24" s="20" t="str">
        <f>+'County Data'!$B$12</f>
        <v>Clackamas</v>
      </c>
      <c r="C24" s="15">
        <f>VLOOKUP($B24,'County Data'!$B$10:$L$46,2,FALSE)</f>
        <v>0</v>
      </c>
      <c r="D24" s="29">
        <f>VLOOKUP($B24,'County Data'!$B$10:$L$46,6,FALSE)</f>
        <v>0.11963882618510158</v>
      </c>
      <c r="E24" s="31">
        <f t="shared" si="0"/>
        <v>0</v>
      </c>
      <c r="F24" s="6">
        <f t="shared" si="1"/>
        <v>0</v>
      </c>
      <c r="G24" s="14">
        <f t="shared" si="2"/>
        <v>0</v>
      </c>
      <c r="H24" s="10" t="e">
        <f t="shared" si="3"/>
        <v>#DIV/0!</v>
      </c>
    </row>
    <row r="25" spans="2:8" x14ac:dyDescent="0.25">
      <c r="B25" s="20" t="str">
        <f>+'County Data'!$B$29</f>
        <v>Lane</v>
      </c>
      <c r="C25" s="15">
        <f>VLOOKUP($B25,'County Data'!$B$10:$L$46,2,FALSE)</f>
        <v>0</v>
      </c>
      <c r="D25" s="29">
        <f>VLOOKUP($B25,'County Data'!$B$10:$L$46,6,FALSE)</f>
        <v>0.1300198979619499</v>
      </c>
      <c r="E25" s="31">
        <f t="shared" si="0"/>
        <v>0</v>
      </c>
      <c r="F25" s="6">
        <f t="shared" si="1"/>
        <v>0</v>
      </c>
      <c r="G25" s="14">
        <f t="shared" si="2"/>
        <v>0</v>
      </c>
      <c r="H25" s="10" t="e">
        <f t="shared" si="3"/>
        <v>#DIV/0!</v>
      </c>
    </row>
    <row r="26" spans="2:8" x14ac:dyDescent="0.25">
      <c r="B26" s="20" t="str">
        <f>+'County Data'!$B$30</f>
        <v>Lincoln</v>
      </c>
      <c r="C26" s="15">
        <f>VLOOKUP($B26,'County Data'!$B$10:$L$46,2,FALSE)</f>
        <v>0</v>
      </c>
      <c r="D26" s="29">
        <f>VLOOKUP($B26,'County Data'!$B$10:$L$46,6,FALSE)</f>
        <v>0.11814707295169274</v>
      </c>
      <c r="E26" s="31">
        <f t="shared" si="0"/>
        <v>0</v>
      </c>
      <c r="F26" s="6">
        <f t="shared" si="1"/>
        <v>0</v>
      </c>
      <c r="G26" s="14">
        <f t="shared" si="2"/>
        <v>0</v>
      </c>
      <c r="H26" s="10" t="e">
        <f t="shared" si="3"/>
        <v>#DIV/0!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0</v>
      </c>
      <c r="D27" s="29">
        <f>VLOOKUP($B27,'County Data'!$B$10:$L$46,6,FALSE)</f>
        <v>8.6331539621126913E-2</v>
      </c>
      <c r="E27" s="31">
        <f t="shared" si="0"/>
        <v>0</v>
      </c>
      <c r="F27" s="6">
        <f t="shared" si="1"/>
        <v>0</v>
      </c>
      <c r="G27" s="14">
        <f t="shared" si="2"/>
        <v>0</v>
      </c>
      <c r="H27" s="10" t="e">
        <f t="shared" si="3"/>
        <v>#DIV/0!</v>
      </c>
    </row>
    <row r="28" spans="2:8" x14ac:dyDescent="0.25">
      <c r="B28" s="20" t="str">
        <f>+'County Data'!$B$11</f>
        <v>Benton</v>
      </c>
      <c r="C28" s="15">
        <f>VLOOKUP($B28,'County Data'!$B$10:$L$46,2,FALSE)</f>
        <v>0</v>
      </c>
      <c r="D28" s="29">
        <f>VLOOKUP($B28,'County Data'!$B$10:$L$46,6,FALSE)</f>
        <v>0.14361773223435065</v>
      </c>
      <c r="E28" s="31">
        <f t="shared" si="0"/>
        <v>0</v>
      </c>
      <c r="F28" s="6">
        <f t="shared" si="1"/>
        <v>0</v>
      </c>
      <c r="G28" s="14">
        <f t="shared" si="2"/>
        <v>0</v>
      </c>
      <c r="H28" s="10" t="e">
        <f t="shared" si="3"/>
        <v>#DIV/0!</v>
      </c>
    </row>
    <row r="29" spans="2:8" x14ac:dyDescent="0.25">
      <c r="B29" s="20" t="str">
        <f>+'County Data'!$B$27</f>
        <v>Klamath</v>
      </c>
      <c r="C29" s="15">
        <f>VLOOKUP($B29,'County Data'!$B$10:$L$46,2,FALSE)</f>
        <v>68075</v>
      </c>
      <c r="D29" s="29">
        <f>VLOOKUP($B29,'County Data'!$B$10:$L$46,6,FALSE)</f>
        <v>0.12005730659025787</v>
      </c>
      <c r="E29" s="31">
        <f t="shared" si="0"/>
        <v>8172.901146131805</v>
      </c>
      <c r="F29" s="6">
        <f t="shared" si="1"/>
        <v>8.1141730319495259E-2</v>
      </c>
      <c r="G29" s="14">
        <f t="shared" si="2"/>
        <v>22057.027025182793</v>
      </c>
      <c r="H29" s="10">
        <f t="shared" si="3"/>
        <v>0.3240106797676503</v>
      </c>
    </row>
    <row r="30" spans="2:8" x14ac:dyDescent="0.25">
      <c r="B30" s="20" t="str">
        <f>+'County Data'!$B$37</f>
        <v>Polk</v>
      </c>
      <c r="C30" s="15">
        <f>VLOOKUP($B30,'County Data'!$B$10:$L$46,2,FALSE)</f>
        <v>83805</v>
      </c>
      <c r="D30" s="29">
        <f>VLOOKUP($B30,'County Data'!$B$10:$L$46,6,FALSE)</f>
        <v>0.12019354759477814</v>
      </c>
      <c r="E30" s="31">
        <f t="shared" si="0"/>
        <v>10072.820256180383</v>
      </c>
      <c r="F30" s="6">
        <f t="shared" si="1"/>
        <v>0.10000439870370563</v>
      </c>
      <c r="G30" s="14">
        <f t="shared" si="2"/>
        <v>27184.529047623979</v>
      </c>
      <c r="H30" s="10">
        <f t="shared" si="3"/>
        <v>0.32437836701418743</v>
      </c>
    </row>
    <row r="31" spans="2:8" x14ac:dyDescent="0.25">
      <c r="B31" s="20" t="str">
        <f>+'County Data'!$B$46</f>
        <v>Yamhill</v>
      </c>
      <c r="C31" s="15">
        <f>VLOOKUP($B31,'County Data'!$B$10:$L$46,2,FALSE)</f>
        <v>108605</v>
      </c>
      <c r="D31" s="29">
        <f>VLOOKUP($B31,'County Data'!$B$10:$L$46,6,FALSE)</f>
        <v>0.11686572914659989</v>
      </c>
      <c r="E31" s="31">
        <f t="shared" si="0"/>
        <v>12692.20251396648</v>
      </c>
      <c r="F31" s="6">
        <f t="shared" si="1"/>
        <v>0.12601000001524784</v>
      </c>
      <c r="G31" s="14">
        <f t="shared" si="2"/>
        <v>34253.718337478203</v>
      </c>
      <c r="H31" s="10">
        <f t="shared" si="3"/>
        <v>0.31539725001130892</v>
      </c>
    </row>
    <row r="32" spans="2:8" x14ac:dyDescent="0.25">
      <c r="B32" s="20" t="str">
        <f>+'County Data'!$B$36</f>
        <v>Gilliam, Sherman, Wasco</v>
      </c>
      <c r="C32" s="15">
        <f>VLOOKUP($B32,'County Data'!$B$10:$L$46,2,FALSE)</f>
        <v>31080</v>
      </c>
      <c r="D32" s="29">
        <f>VLOOKUP($B32,'County Data'!$B$10:$L$46,6,FALSE)</f>
        <v>0.11961331608686772</v>
      </c>
      <c r="E32" s="31">
        <f t="shared" si="0"/>
        <v>3717.5818639798485</v>
      </c>
      <c r="F32" s="6">
        <f t="shared" si="1"/>
        <v>3.6908683912134352E-2</v>
      </c>
      <c r="G32" s="14">
        <f t="shared" si="2"/>
        <v>10033.010576781853</v>
      </c>
      <c r="H32" s="10">
        <f t="shared" si="3"/>
        <v>0.32281243812039423</v>
      </c>
    </row>
    <row r="33" spans="2:8" x14ac:dyDescent="0.25">
      <c r="B33" s="20" t="str">
        <f>+'County Data'!$B$35</f>
        <v>Multnomah</v>
      </c>
      <c r="C33" s="15">
        <f>VLOOKUP($B33,'County Data'!$B$10:$L$46,2,FALSE)</f>
        <v>0</v>
      </c>
      <c r="D33" s="29">
        <f>VLOOKUP($B33,'County Data'!$B$10:$L$46,6,FALSE)</f>
        <v>0.22188526345181289</v>
      </c>
      <c r="E33" s="31">
        <f t="shared" si="0"/>
        <v>0</v>
      </c>
      <c r="F33" s="6">
        <f t="shared" si="1"/>
        <v>0</v>
      </c>
      <c r="G33" s="14">
        <f t="shared" si="2"/>
        <v>0</v>
      </c>
      <c r="H33" s="10" t="e">
        <f t="shared" si="3"/>
        <v>#DIV/0!</v>
      </c>
    </row>
    <row r="34" spans="2:8" x14ac:dyDescent="0.25">
      <c r="B34" s="20" t="str">
        <f>+'County Data'!$B$44</f>
        <v>Washington</v>
      </c>
      <c r="C34" s="15">
        <f>VLOOKUP($B34,'County Data'!$B$10:$L$46,2,FALSE)</f>
        <v>0</v>
      </c>
      <c r="D34" s="29">
        <f>VLOOKUP($B34,'County Data'!$B$10:$L$46,6,FALSE)</f>
        <v>0.2386094692353834</v>
      </c>
      <c r="E34" s="31">
        <f t="shared" si="0"/>
        <v>0</v>
      </c>
      <c r="F34" s="6">
        <f t="shared" si="1"/>
        <v>0</v>
      </c>
      <c r="G34" s="14">
        <f t="shared" si="2"/>
        <v>0</v>
      </c>
      <c r="H34" s="10" t="e">
        <f t="shared" si="3"/>
        <v>#DIV/0!</v>
      </c>
    </row>
    <row r="35" spans="2:8" x14ac:dyDescent="0.25">
      <c r="B35" s="20" t="str">
        <f>+'County Data'!$B$40</f>
        <v>Umatilla</v>
      </c>
      <c r="C35" s="15">
        <f>VLOOKUP($B35,'County Data'!$B$10:$L$46,2,FALSE)</f>
        <v>81495</v>
      </c>
      <c r="D35" s="29">
        <f>VLOOKUP($B35,'County Data'!$B$10:$L$46,6,FALSE)</f>
        <v>0.14515331998231423</v>
      </c>
      <c r="E35" s="31">
        <f t="shared" si="0"/>
        <v>11829.269811958698</v>
      </c>
      <c r="F35" s="6">
        <f t="shared" si="1"/>
        <v>0.11744268085425091</v>
      </c>
      <c r="G35" s="14">
        <f t="shared" si="2"/>
        <v>31924.83541221387</v>
      </c>
      <c r="H35" s="10">
        <f t="shared" si="3"/>
        <v>0.39173980504587852</v>
      </c>
    </row>
    <row r="36" spans="2:8" x14ac:dyDescent="0.25">
      <c r="B36" s="20" t="str">
        <f>+'County Data'!$B$33</f>
        <v>Marion</v>
      </c>
      <c r="C36" s="15">
        <f>VLOOKUP($B36,'County Data'!$B$10:$L$46,2,FALSE)</f>
        <v>0</v>
      </c>
      <c r="D36" s="29">
        <f>VLOOKUP($B36,'County Data'!$B$10:$L$46,6,FALSE)</f>
        <v>0.18943058175608621</v>
      </c>
      <c r="E36" s="31">
        <f t="shared" si="0"/>
        <v>0</v>
      </c>
      <c r="F36" s="6">
        <f t="shared" si="1"/>
        <v>0</v>
      </c>
      <c r="G36" s="14">
        <f t="shared" si="2"/>
        <v>0</v>
      </c>
      <c r="H36" s="10" t="e">
        <f t="shared" si="3"/>
        <v>#DIV/0!</v>
      </c>
    </row>
    <row r="37" spans="2:8" x14ac:dyDescent="0.25">
      <c r="B37" s="20" t="str">
        <f>+'County Data'!$B$23</f>
        <v>Hood River</v>
      </c>
      <c r="C37" s="15">
        <f>VLOOKUP($B37,'County Data'!$B$10:$L$46,2,FALSE)</f>
        <v>25640</v>
      </c>
      <c r="D37" s="29">
        <f>VLOOKUP($B37,'County Data'!$B$10:$L$46,6,FALSE)</f>
        <v>0.13401928148372313</v>
      </c>
      <c r="E37" s="31">
        <f t="shared" si="0"/>
        <v>3436.2543772426611</v>
      </c>
      <c r="F37" s="6">
        <f t="shared" si="1"/>
        <v>3.4115624427853875E-2</v>
      </c>
      <c r="G37" s="14">
        <f t="shared" si="2"/>
        <v>9273.7639069716115</v>
      </c>
      <c r="H37" s="10">
        <f t="shared" si="3"/>
        <v>0.36169126002229374</v>
      </c>
    </row>
    <row r="38" spans="2:8" x14ac:dyDescent="0.25">
      <c r="B38" s="20" t="str">
        <f>+'County Data'!$B$32</f>
        <v>Malheur</v>
      </c>
      <c r="C38" s="15">
        <f>VLOOKUP($B38,'County Data'!$B$10:$L$46,2,FALSE)</f>
        <v>32105</v>
      </c>
      <c r="D38" s="29">
        <f>VLOOKUP($B38,'County Data'!$B$10:$L$46,6,FALSE)</f>
        <v>0.10926357990207354</v>
      </c>
      <c r="E38" s="31">
        <f t="shared" si="0"/>
        <v>3507.9072327560712</v>
      </c>
      <c r="F38" s="6">
        <f t="shared" si="1"/>
        <v>3.4827004215121048E-2</v>
      </c>
      <c r="G38" s="14">
        <f t="shared" si="2"/>
        <v>9467.1406458104047</v>
      </c>
      <c r="H38" s="10">
        <f t="shared" si="3"/>
        <v>0.29488056831678572</v>
      </c>
    </row>
    <row r="39" spans="2:8" x14ac:dyDescent="0.25">
      <c r="B39" s="20" t="str">
        <f>+'County Data'!$B$34</f>
        <v>Morrow</v>
      </c>
      <c r="C39" s="15">
        <f>VLOOKUP($B39,'County Data'!$B$10:$L$46,2,FALSE)</f>
        <v>12825</v>
      </c>
      <c r="D39" s="29">
        <f>VLOOKUP($B39,'County Data'!$B$10:$L$46,6,FALSE)</f>
        <v>0.11404369148461882</v>
      </c>
      <c r="E39" s="31">
        <f t="shared" si="0"/>
        <v>1462.6103432902364</v>
      </c>
      <c r="F39" s="6">
        <f t="shared" si="1"/>
        <v>1.4521004465339804E-2</v>
      </c>
      <c r="G39" s="14">
        <f t="shared" si="2"/>
        <v>3947.2930471615364</v>
      </c>
      <c r="H39" s="10">
        <f t="shared" si="3"/>
        <v>0.30778113428160125</v>
      </c>
    </row>
    <row r="40" spans="2:8" x14ac:dyDescent="0.25">
      <c r="B40" s="20" t="str">
        <f>+'County Data'!$B$25</f>
        <v>Jefferson</v>
      </c>
      <c r="C40" s="15">
        <f>VLOOKUP($B40,'County Data'!$B$10:$L$46,2,FALSE)</f>
        <v>24105</v>
      </c>
      <c r="D40" s="29">
        <f>VLOOKUP($B40,'County Data'!$B$10:$L$46,6,FALSE)</f>
        <v>0.28928833772631035</v>
      </c>
      <c r="E40" s="31">
        <f t="shared" si="0"/>
        <v>6973.2953808927114</v>
      </c>
      <c r="F40" s="6">
        <f t="shared" si="1"/>
        <v>6.9231872883031342E-2</v>
      </c>
      <c r="G40" s="14">
        <f t="shared" si="2"/>
        <v>18819.530778704018</v>
      </c>
      <c r="H40" s="10">
        <f t="shared" si="3"/>
        <v>0.78073141583505568</v>
      </c>
    </row>
    <row r="41" spans="2:8" x14ac:dyDescent="0.25">
      <c r="B41" s="4" t="s">
        <v>2</v>
      </c>
      <c r="C41" s="5">
        <f>SUM(C7:C40)</f>
        <v>940705</v>
      </c>
      <c r="D41" s="5"/>
      <c r="E41" s="5">
        <f>SUM(E7:E40)</f>
        <v>100723.77202151147</v>
      </c>
      <c r="F41" s="8">
        <f>SUM(F7:F40)</f>
        <v>1</v>
      </c>
      <c r="G41" s="11">
        <f>SUM(G7:G40)</f>
        <v>271833.33333333331</v>
      </c>
      <c r="H41" s="12">
        <f t="shared" ref="H41" si="4">G41/C41</f>
        <v>0.28896767140956336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1"/>
  <sheetViews>
    <sheetView workbookViewId="0">
      <selection activeCell="I27" sqref="I2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8" bestFit="1" customWidth="1"/>
    <col min="5" max="5" width="14.285156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2000000</v>
      </c>
    </row>
    <row r="4" spans="2:8" x14ac:dyDescent="0.25">
      <c r="B4" t="s">
        <v>41</v>
      </c>
      <c r="C4" s="14">
        <f>'County Data'!I9</f>
        <v>271833.33333333331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Data'!$B$35</f>
        <v>Multnomah</v>
      </c>
      <c r="C7" s="15">
        <f>VLOOKUP($B7,'County Data'!$B$10:$L$46,2,FALSE)</f>
        <v>0</v>
      </c>
      <c r="D7" s="29">
        <f>VLOOKUP($B7,'County Data'!$B$10:$L$46,8,FALSE)</f>
        <v>1.2999999999999999E-2</v>
      </c>
      <c r="E7" s="31">
        <f t="shared" ref="E7:E40" si="0">C7*D7</f>
        <v>0</v>
      </c>
      <c r="F7" s="6">
        <f t="shared" ref="F7:F40" si="1">IF(E7=0,0,E7/$E$41)</f>
        <v>0</v>
      </c>
      <c r="G7" s="14">
        <f t="shared" ref="G7:G40" si="2">$C$4*F7</f>
        <v>0</v>
      </c>
      <c r="H7" s="10" t="e">
        <f t="shared" ref="H7:H40" si="3">G7/C7</f>
        <v>#DIV/0!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0</v>
      </c>
      <c r="D8" s="29">
        <f>VLOOKUP($B8,'County Data'!$B$10:$L$46,8,FALSE)</f>
        <v>5.6000000000000001E-2</v>
      </c>
      <c r="E8" s="31">
        <f t="shared" si="0"/>
        <v>0</v>
      </c>
      <c r="F8" s="6">
        <f t="shared" si="1"/>
        <v>0</v>
      </c>
      <c r="G8" s="14">
        <f t="shared" si="2"/>
        <v>0</v>
      </c>
      <c r="H8" s="10" t="e">
        <f t="shared" si="3"/>
        <v>#DIV/0!</v>
      </c>
    </row>
    <row r="9" spans="2:8" x14ac:dyDescent="0.25">
      <c r="B9" s="20" t="str">
        <f>+'County Data'!$B$33</f>
        <v>Marion</v>
      </c>
      <c r="C9" s="15">
        <f>VLOOKUP($B9,'County Data'!$B$10:$L$46,2,FALSE)</f>
        <v>0</v>
      </c>
      <c r="D9" s="29">
        <f>VLOOKUP($B9,'County Data'!$B$10:$L$46,8,FALSE)</f>
        <v>0.13100000000000001</v>
      </c>
      <c r="E9" s="31">
        <f t="shared" si="0"/>
        <v>0</v>
      </c>
      <c r="F9" s="6">
        <f t="shared" si="1"/>
        <v>0</v>
      </c>
      <c r="G9" s="14">
        <f t="shared" si="2"/>
        <v>0</v>
      </c>
      <c r="H9" s="10" t="e">
        <f t="shared" si="3"/>
        <v>#DIV/0!</v>
      </c>
    </row>
    <row r="10" spans="2:8" x14ac:dyDescent="0.25">
      <c r="B10" s="20" t="str">
        <f>+'County Data'!$B$29</f>
        <v>Lane</v>
      </c>
      <c r="C10" s="15">
        <f>VLOOKUP($B10,'County Data'!$B$10:$L$46,2,FALSE)</f>
        <v>0</v>
      </c>
      <c r="D10" s="29">
        <f>VLOOKUP($B10,'County Data'!$B$10:$L$46,8,FALSE)</f>
        <v>0.17499999999999999</v>
      </c>
      <c r="E10" s="31">
        <f t="shared" si="0"/>
        <v>0</v>
      </c>
      <c r="F10" s="6">
        <f t="shared" si="1"/>
        <v>0</v>
      </c>
      <c r="G10" s="14">
        <f t="shared" si="2"/>
        <v>0</v>
      </c>
      <c r="H10" s="10" t="e">
        <f t="shared" si="3"/>
        <v>#DIV/0!</v>
      </c>
    </row>
    <row r="11" spans="2:8" x14ac:dyDescent="0.25">
      <c r="B11" s="20" t="str">
        <f>+'County Data'!$B$12</f>
        <v>Clackamas</v>
      </c>
      <c r="C11" s="15">
        <f>VLOOKUP($B11,'County Data'!$B$10:$L$46,2,FALSE)</f>
        <v>0</v>
      </c>
      <c r="D11" s="29">
        <f>VLOOKUP($B11,'County Data'!$B$10:$L$46,8,FALSE)</f>
        <v>0.18099999999999999</v>
      </c>
      <c r="E11" s="31">
        <f t="shared" si="0"/>
        <v>0</v>
      </c>
      <c r="F11" s="6">
        <f t="shared" si="1"/>
        <v>0</v>
      </c>
      <c r="G11" s="14">
        <f t="shared" si="2"/>
        <v>0</v>
      </c>
      <c r="H11" s="10" t="e">
        <f t="shared" si="3"/>
        <v>#DIV/0!</v>
      </c>
    </row>
    <row r="12" spans="2:8" x14ac:dyDescent="0.25">
      <c r="B12" s="20" t="str">
        <f>+'County Data'!$B$11</f>
        <v>Benton</v>
      </c>
      <c r="C12" s="15">
        <f>VLOOKUP($B12,'County Data'!$B$10:$L$46,2,FALSE)</f>
        <v>0</v>
      </c>
      <c r="D12" s="29">
        <f>VLOOKUP($B12,'County Data'!$B$10:$L$46,8,FALSE)</f>
        <v>0.188</v>
      </c>
      <c r="E12" s="31">
        <f t="shared" si="0"/>
        <v>0</v>
      </c>
      <c r="F12" s="6">
        <f t="shared" si="1"/>
        <v>0</v>
      </c>
      <c r="G12" s="14">
        <f t="shared" si="2"/>
        <v>0</v>
      </c>
      <c r="H12" s="10" t="e">
        <f t="shared" si="3"/>
        <v>#DIV/0!</v>
      </c>
    </row>
    <row r="13" spans="2:8" x14ac:dyDescent="0.25">
      <c r="B13" s="20" t="str">
        <f>+'County Data'!$B$37</f>
        <v>Polk</v>
      </c>
      <c r="C13" s="15">
        <f>VLOOKUP($B13,'County Data'!$B$10:$L$46,2,FALSE)</f>
        <v>83805</v>
      </c>
      <c r="D13" s="29">
        <f>VLOOKUP($B13,'County Data'!$B$10:$L$46,8,FALSE)</f>
        <v>0.19900000000000001</v>
      </c>
      <c r="E13" s="31">
        <f t="shared" si="0"/>
        <v>16677.195</v>
      </c>
      <c r="F13" s="6">
        <f t="shared" si="1"/>
        <v>4.5474612506746497E-2</v>
      </c>
      <c r="G13" s="14">
        <f t="shared" si="2"/>
        <v>12361.515499750589</v>
      </c>
      <c r="H13" s="10">
        <f t="shared" si="3"/>
        <v>0.14750331722153318</v>
      </c>
    </row>
    <row r="14" spans="2:8" x14ac:dyDescent="0.25">
      <c r="B14" s="20" t="str">
        <f>+'County Data'!$B$24</f>
        <v>Jackson</v>
      </c>
      <c r="C14" s="15">
        <f>VLOOKUP($B14,'County Data'!$B$10:$L$46,2,FALSE)</f>
        <v>0</v>
      </c>
      <c r="D14" s="29">
        <f>VLOOKUP($B14,'County Data'!$B$10:$L$46,8,FALSE)</f>
        <v>0.20100000000000001</v>
      </c>
      <c r="E14" s="31">
        <f t="shared" si="0"/>
        <v>0</v>
      </c>
      <c r="F14" s="6">
        <f t="shared" si="1"/>
        <v>0</v>
      </c>
      <c r="G14" s="14">
        <f t="shared" si="2"/>
        <v>0</v>
      </c>
      <c r="H14" s="10" t="e">
        <f t="shared" si="3"/>
        <v>#DIV/0!</v>
      </c>
    </row>
    <row r="15" spans="2:8" x14ac:dyDescent="0.25">
      <c r="B15" s="20" t="str">
        <f>+'County Data'!$B$46</f>
        <v>Yamhill</v>
      </c>
      <c r="C15" s="15">
        <f>VLOOKUP($B15,'County Data'!$B$10:$L$46,2,FALSE)</f>
        <v>108605</v>
      </c>
      <c r="D15" s="29">
        <f>VLOOKUP($B15,'County Data'!$B$10:$L$46,8,FALSE)</f>
        <v>0.22600000000000001</v>
      </c>
      <c r="E15" s="31">
        <f t="shared" si="0"/>
        <v>24544.73</v>
      </c>
      <c r="F15" s="6">
        <f t="shared" si="1"/>
        <v>6.6927447081641486E-2</v>
      </c>
      <c r="G15" s="14">
        <f t="shared" si="2"/>
        <v>18193.111031692875</v>
      </c>
      <c r="H15" s="10">
        <f t="shared" si="3"/>
        <v>0.16751633011088693</v>
      </c>
    </row>
    <row r="16" spans="2:8" x14ac:dyDescent="0.25">
      <c r="B16" s="20" t="str">
        <f>+'County Data'!$B$18</f>
        <v>Deschutes</v>
      </c>
      <c r="C16" s="15">
        <f>VLOOKUP($B16,'County Data'!$B$10:$L$46,2,FALSE)</f>
        <v>0</v>
      </c>
      <c r="D16" s="29">
        <f>VLOOKUP($B16,'County Data'!$B$10:$L$46,8,FALSE)</f>
        <v>0.27600000000000002</v>
      </c>
      <c r="E16" s="31">
        <f t="shared" si="0"/>
        <v>0</v>
      </c>
      <c r="F16" s="6">
        <f t="shared" si="1"/>
        <v>0</v>
      </c>
      <c r="G16" s="14">
        <f t="shared" si="2"/>
        <v>0</v>
      </c>
      <c r="H16" s="10" t="e">
        <f t="shared" si="3"/>
        <v>#DIV/0!</v>
      </c>
    </row>
    <row r="17" spans="2:8" x14ac:dyDescent="0.25">
      <c r="B17" s="20" t="str">
        <f>+'County Data'!$B$40</f>
        <v>Umatilla</v>
      </c>
      <c r="C17" s="15">
        <f>VLOOKUP($B17,'County Data'!$B$10:$L$46,2,FALSE)</f>
        <v>81495</v>
      </c>
      <c r="D17" s="29">
        <f>VLOOKUP($B17,'County Data'!$B$10:$L$46,8,FALSE)</f>
        <v>0.29099999999999998</v>
      </c>
      <c r="E17" s="31">
        <f t="shared" si="0"/>
        <v>23715.044999999998</v>
      </c>
      <c r="F17" s="6">
        <f t="shared" si="1"/>
        <v>6.4665099973649998E-2</v>
      </c>
      <c r="G17" s="14">
        <f t="shared" si="2"/>
        <v>17578.129676170523</v>
      </c>
      <c r="H17" s="10">
        <f t="shared" si="3"/>
        <v>0.21569580558525706</v>
      </c>
    </row>
    <row r="18" spans="2:8" x14ac:dyDescent="0.25">
      <c r="B18" s="20" t="str">
        <f>+'County Data'!$B$31</f>
        <v>Linn</v>
      </c>
      <c r="C18" s="15">
        <f>VLOOKUP($B18,'County Data'!$B$10:$L$46,2,FALSE)</f>
        <v>0</v>
      </c>
      <c r="D18" s="29">
        <f>VLOOKUP($B18,'County Data'!$B$10:$L$46,8,FALSE)</f>
        <v>0.316</v>
      </c>
      <c r="E18" s="31">
        <f t="shared" si="0"/>
        <v>0</v>
      </c>
      <c r="F18" s="6">
        <f t="shared" si="1"/>
        <v>0</v>
      </c>
      <c r="G18" s="14">
        <f t="shared" si="2"/>
        <v>0</v>
      </c>
      <c r="H18" s="10" t="e">
        <f t="shared" si="3"/>
        <v>#DIV/0!</v>
      </c>
    </row>
    <row r="19" spans="2:8" x14ac:dyDescent="0.25">
      <c r="B19" s="20" t="str">
        <f>+'County Data'!$B$27</f>
        <v>Klamath</v>
      </c>
      <c r="C19" s="15">
        <f>VLOOKUP($B19,'County Data'!$B$10:$L$46,2,FALSE)</f>
        <v>68075</v>
      </c>
      <c r="D19" s="29">
        <f>VLOOKUP($B19,'County Data'!$B$10:$L$46,8,FALSE)</f>
        <v>0.376</v>
      </c>
      <c r="E19" s="31">
        <f t="shared" si="0"/>
        <v>25596.2</v>
      </c>
      <c r="F19" s="6">
        <f t="shared" si="1"/>
        <v>6.9794547383129166E-2</v>
      </c>
      <c r="G19" s="14">
        <f t="shared" si="2"/>
        <v>18972.484463647277</v>
      </c>
      <c r="H19" s="10">
        <f t="shared" si="3"/>
        <v>0.27869973505174112</v>
      </c>
    </row>
    <row r="20" spans="2:8" x14ac:dyDescent="0.25">
      <c r="B20" s="20" t="str">
        <f>+'County Data'!$B$30</f>
        <v>Lincoln</v>
      </c>
      <c r="C20" s="15">
        <f>VLOOKUP($B20,'County Data'!$B$10:$L$46,2,FALSE)</f>
        <v>0</v>
      </c>
      <c r="D20" s="29">
        <f>VLOOKUP($B20,'County Data'!$B$10:$L$46,8,FALSE)</f>
        <v>0.376</v>
      </c>
      <c r="E20" s="31">
        <f t="shared" si="0"/>
        <v>0</v>
      </c>
      <c r="F20" s="6">
        <f t="shared" si="1"/>
        <v>0</v>
      </c>
      <c r="G20" s="14">
        <f t="shared" si="2"/>
        <v>0</v>
      </c>
      <c r="H20" s="10" t="e">
        <f t="shared" si="3"/>
        <v>#DIV/0!</v>
      </c>
    </row>
    <row r="21" spans="2:8" x14ac:dyDescent="0.25">
      <c r="B21" s="20" t="str">
        <f>+'County Data'!$B$15</f>
        <v>Coos</v>
      </c>
      <c r="C21" s="15">
        <f>VLOOKUP($B21,'County Data'!$B$10:$L$46,2,FALSE)</f>
        <v>63315</v>
      </c>
      <c r="D21" s="29">
        <f>VLOOKUP($B21,'County Data'!$B$10:$L$46,8,FALSE)</f>
        <v>0.38400000000000001</v>
      </c>
      <c r="E21" s="31">
        <f t="shared" si="0"/>
        <v>24312.959999999999</v>
      </c>
      <c r="F21" s="6">
        <f t="shared" si="1"/>
        <v>6.6295467246861792E-2</v>
      </c>
      <c r="G21" s="14">
        <f t="shared" si="2"/>
        <v>18021.317846605263</v>
      </c>
      <c r="H21" s="10">
        <f t="shared" si="3"/>
        <v>0.28462951664858666</v>
      </c>
    </row>
    <row r="22" spans="2:8" x14ac:dyDescent="0.25">
      <c r="B22" s="20" t="str">
        <f>+'County Data'!$B$17</f>
        <v>Curry</v>
      </c>
      <c r="C22" s="15">
        <f>VLOOKUP($B22,'County Data'!$B$10:$L$46,2,FALSE)</f>
        <v>0</v>
      </c>
      <c r="D22" s="29">
        <f>VLOOKUP($B22,'County Data'!$B$10:$L$46,8,FALSE)</f>
        <v>0.38700000000000001</v>
      </c>
      <c r="E22" s="31">
        <f t="shared" si="0"/>
        <v>0</v>
      </c>
      <c r="F22" s="6">
        <f t="shared" si="1"/>
        <v>0</v>
      </c>
      <c r="G22" s="14">
        <f t="shared" si="2"/>
        <v>0</v>
      </c>
      <c r="H22" s="10" t="e">
        <f t="shared" si="3"/>
        <v>#DIV/0!</v>
      </c>
    </row>
    <row r="23" spans="2:8" x14ac:dyDescent="0.25">
      <c r="B23" s="20" t="str">
        <f>+'County Data'!$B$13</f>
        <v>Clatsop</v>
      </c>
      <c r="C23" s="15">
        <f>VLOOKUP($B23,'County Data'!$B$10:$L$46,2,FALSE)</f>
        <v>39455</v>
      </c>
      <c r="D23" s="29">
        <f>VLOOKUP($B23,'County Data'!$B$10:$L$46,8,FALSE)</f>
        <v>0.39</v>
      </c>
      <c r="E23" s="31">
        <f t="shared" si="0"/>
        <v>15387.45</v>
      </c>
      <c r="F23" s="6">
        <f t="shared" si="1"/>
        <v>4.1957794834019541E-2</v>
      </c>
      <c r="G23" s="14">
        <f t="shared" si="2"/>
        <v>11405.527229047644</v>
      </c>
      <c r="H23" s="10">
        <f t="shared" si="3"/>
        <v>0.28907685284622087</v>
      </c>
    </row>
    <row r="24" spans="2:8" x14ac:dyDescent="0.25">
      <c r="B24" s="20" t="str">
        <f>+'County Data'!$B$10</f>
        <v>Baker</v>
      </c>
      <c r="C24" s="15">
        <f>VLOOKUP($B24,'County Data'!$B$10:$L$46,2,FALSE)</f>
        <v>16910</v>
      </c>
      <c r="D24" s="29">
        <f>VLOOKUP($B24,'County Data'!$B$10:$L$46,8,FALSE)</f>
        <v>0.41</v>
      </c>
      <c r="E24" s="31">
        <f t="shared" si="0"/>
        <v>6933.0999999999995</v>
      </c>
      <c r="F24" s="6">
        <f t="shared" si="1"/>
        <v>1.8904859958195856E-2</v>
      </c>
      <c r="G24" s="14">
        <f t="shared" si="2"/>
        <v>5138.9710986362397</v>
      </c>
      <c r="H24" s="10">
        <f t="shared" si="3"/>
        <v>0.30390130683833472</v>
      </c>
    </row>
    <row r="25" spans="2:8" x14ac:dyDescent="0.25">
      <c r="B25" s="20" t="str">
        <f>+'County Data'!$B$19</f>
        <v>Douglas</v>
      </c>
      <c r="C25" s="15">
        <f>VLOOKUP($B25,'County Data'!$B$10:$L$46,2,FALSE)</f>
        <v>112530</v>
      </c>
      <c r="D25" s="29">
        <f>VLOOKUP($B25,'County Data'!$B$10:$L$46,8,FALSE)</f>
        <v>0.41199999999999998</v>
      </c>
      <c r="E25" s="31">
        <f t="shared" si="0"/>
        <v>46362.36</v>
      </c>
      <c r="F25" s="6">
        <f t="shared" si="1"/>
        <v>0.126418762621549</v>
      </c>
      <c r="G25" s="14">
        <f t="shared" si="2"/>
        <v>34364.833639291064</v>
      </c>
      <c r="H25" s="10">
        <f t="shared" si="3"/>
        <v>0.3053837522375461</v>
      </c>
    </row>
    <row r="26" spans="2:8" x14ac:dyDescent="0.25">
      <c r="B26" s="20" t="str">
        <f>+'County Data'!$B$36</f>
        <v>Gilliam, Sherman, Wasco</v>
      </c>
      <c r="C26" s="15">
        <f>VLOOKUP($B26,'County Data'!$B$10:$L$46,2,FALSE)</f>
        <v>31080</v>
      </c>
      <c r="D26" s="29">
        <f>VLOOKUP($B26,'County Data'!$B$10:$L$46,8,FALSE)</f>
        <v>0.41499999999999998</v>
      </c>
      <c r="E26" s="31">
        <f t="shared" si="0"/>
        <v>12898.199999999999</v>
      </c>
      <c r="F26" s="6">
        <f t="shared" si="1"/>
        <v>3.5170221792964446E-2</v>
      </c>
      <c r="G26" s="14">
        <f t="shared" si="2"/>
        <v>9560.438624054168</v>
      </c>
      <c r="H26" s="10">
        <f t="shared" si="3"/>
        <v>0.30760742033636318</v>
      </c>
    </row>
    <row r="27" spans="2:8" x14ac:dyDescent="0.25">
      <c r="B27" s="20" t="str">
        <f>+'County Data'!$B$41</f>
        <v>Union</v>
      </c>
      <c r="C27" s="15">
        <f>VLOOKUP($B27,'County Data'!$B$10:$L$46,2,FALSE)</f>
        <v>26840</v>
      </c>
      <c r="D27" s="29">
        <f>VLOOKUP($B27,'County Data'!$B$10:$L$46,8,FALSE)</f>
        <v>0.42099999999999999</v>
      </c>
      <c r="E27" s="31">
        <f t="shared" si="0"/>
        <v>11299.64</v>
      </c>
      <c r="F27" s="6">
        <f t="shared" si="1"/>
        <v>3.0811341503516207E-2</v>
      </c>
      <c r="G27" s="14">
        <f t="shared" si="2"/>
        <v>8375.5496653724877</v>
      </c>
      <c r="H27" s="10">
        <f t="shared" si="3"/>
        <v>0.31205475653399728</v>
      </c>
    </row>
    <row r="28" spans="2:8" x14ac:dyDescent="0.25">
      <c r="B28" s="20" t="str">
        <f>+'County Data'!$B$14</f>
        <v>Columbia</v>
      </c>
      <c r="C28" s="15">
        <f>VLOOKUP($B28,'County Data'!$B$10:$L$46,2,FALSE)</f>
        <v>53280</v>
      </c>
      <c r="D28" s="29">
        <f>VLOOKUP($B28,'County Data'!$B$10:$L$46,8,FALSE)</f>
        <v>0.436</v>
      </c>
      <c r="E28" s="31">
        <f t="shared" si="0"/>
        <v>23230.080000000002</v>
      </c>
      <c r="F28" s="6">
        <f t="shared" si="1"/>
        <v>6.3342719594075725E-2</v>
      </c>
      <c r="G28" s="14">
        <f t="shared" si="2"/>
        <v>17218.66260965625</v>
      </c>
      <c r="H28" s="10">
        <f t="shared" si="3"/>
        <v>0.32317309702808278</v>
      </c>
    </row>
    <row r="29" spans="2:8" x14ac:dyDescent="0.25">
      <c r="B29" s="20" t="str">
        <f>+'County Data'!$B$22</f>
        <v>Harney</v>
      </c>
      <c r="C29" s="15">
        <f>VLOOKUP($B29,'County Data'!$B$10:$L$46,2,FALSE)</f>
        <v>7280</v>
      </c>
      <c r="D29" s="29">
        <f>VLOOKUP($B29,'County Data'!$B$10:$L$46,8,FALSE)</f>
        <v>0.443</v>
      </c>
      <c r="E29" s="31">
        <f t="shared" si="0"/>
        <v>3225.04</v>
      </c>
      <c r="F29" s="6">
        <f t="shared" si="1"/>
        <v>8.793891557828384E-3</v>
      </c>
      <c r="G29" s="14">
        <f t="shared" si="2"/>
        <v>2390.4728551363487</v>
      </c>
      <c r="H29" s="10">
        <f t="shared" si="3"/>
        <v>0.32836165592532263</v>
      </c>
    </row>
    <row r="30" spans="2:8" x14ac:dyDescent="0.25">
      <c r="B30" s="20" t="str">
        <f>+'County Data'!$B$26</f>
        <v>Josephine</v>
      </c>
      <c r="C30" s="15">
        <f>VLOOKUP($B30,'County Data'!$B$10:$L$46,2,FALSE)</f>
        <v>86560</v>
      </c>
      <c r="D30" s="29">
        <f>VLOOKUP($B30,'County Data'!$B$10:$L$46,8,FALSE)</f>
        <v>0.45</v>
      </c>
      <c r="E30" s="31">
        <f t="shared" si="0"/>
        <v>38952</v>
      </c>
      <c r="F30" s="6">
        <f t="shared" si="1"/>
        <v>0.10621253192535014</v>
      </c>
      <c r="G30" s="14">
        <f t="shared" si="2"/>
        <v>28872.106595041012</v>
      </c>
      <c r="H30" s="10">
        <f t="shared" si="3"/>
        <v>0.33355021482256253</v>
      </c>
    </row>
    <row r="31" spans="2:8" x14ac:dyDescent="0.25">
      <c r="B31" s="20" t="str">
        <f>+'County Data'!$B$34</f>
        <v>Morrow</v>
      </c>
      <c r="C31" s="15">
        <f>VLOOKUP($B31,'County Data'!$B$10:$L$46,2,FALSE)</f>
        <v>12825</v>
      </c>
      <c r="D31" s="29">
        <f>VLOOKUP($B31,'County Data'!$B$10:$L$46,8,FALSE)</f>
        <v>0.45900000000000002</v>
      </c>
      <c r="E31" s="31">
        <f t="shared" si="0"/>
        <v>5886.6750000000002</v>
      </c>
      <c r="F31" s="6">
        <f t="shared" si="1"/>
        <v>1.6051516131948565E-2</v>
      </c>
      <c r="G31" s="14">
        <f t="shared" si="2"/>
        <v>4363.337135201351</v>
      </c>
      <c r="H31" s="10">
        <f t="shared" si="3"/>
        <v>0.34022121911901371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Data'!$B$10:$L$46,8,FALSE)</f>
        <v>0.48</v>
      </c>
      <c r="E32" s="31">
        <f t="shared" si="0"/>
        <v>11251.199999999999</v>
      </c>
      <c r="F32" s="6">
        <f t="shared" si="1"/>
        <v>3.0679257527174455E-2</v>
      </c>
      <c r="G32" s="14">
        <f t="shared" si="2"/>
        <v>8339.6448378035893</v>
      </c>
      <c r="H32" s="10">
        <f t="shared" si="3"/>
        <v>0.35578689581073331</v>
      </c>
    </row>
    <row r="33" spans="2:8" x14ac:dyDescent="0.25">
      <c r="B33" s="20" t="str">
        <f>+'County Data'!$B$32</f>
        <v>Malheur</v>
      </c>
      <c r="C33" s="15">
        <f>VLOOKUP($B33,'County Data'!$B$10:$L$46,2,FALSE)</f>
        <v>32105</v>
      </c>
      <c r="D33" s="29">
        <f>VLOOKUP($B33,'County Data'!$B$10:$L$46,8,FALSE)</f>
        <v>0.48399999999999999</v>
      </c>
      <c r="E33" s="31">
        <f t="shared" si="0"/>
        <v>15538.82</v>
      </c>
      <c r="F33" s="6">
        <f t="shared" si="1"/>
        <v>4.2370543626316218E-2</v>
      </c>
      <c r="G33" s="14">
        <f t="shared" si="2"/>
        <v>11517.726109086958</v>
      </c>
      <c r="H33" s="10">
        <f t="shared" si="3"/>
        <v>0.35875178660915613</v>
      </c>
    </row>
    <row r="34" spans="2:8" x14ac:dyDescent="0.25">
      <c r="B34" s="20" t="str">
        <f>+'County Data'!$B$23</f>
        <v>Hood River</v>
      </c>
      <c r="C34" s="15">
        <f>VLOOKUP($B34,'County Data'!$B$10:$L$46,2,FALSE)</f>
        <v>25640</v>
      </c>
      <c r="D34" s="29">
        <f>VLOOKUP($B34,'County Data'!$B$10:$L$46,8,FALSE)</f>
        <v>0.52200000000000002</v>
      </c>
      <c r="E34" s="31">
        <f t="shared" si="0"/>
        <v>13384.08</v>
      </c>
      <c r="F34" s="6">
        <f t="shared" si="1"/>
        <v>3.6495097152686388E-2</v>
      </c>
      <c r="G34" s="14">
        <f t="shared" si="2"/>
        <v>9920.5839093385821</v>
      </c>
      <c r="H34" s="10">
        <f t="shared" si="3"/>
        <v>0.38691824919417245</v>
      </c>
    </row>
    <row r="35" spans="2:8" x14ac:dyDescent="0.25">
      <c r="B35" s="20" t="str">
        <f>+'County Data'!$B$25</f>
        <v>Jefferson</v>
      </c>
      <c r="C35" s="15">
        <f>VLOOKUP($B35,'County Data'!$B$10:$L$46,2,FALSE)</f>
        <v>24105</v>
      </c>
      <c r="D35" s="29">
        <f>VLOOKUP($B35,'County Data'!$B$10:$L$46,8,FALSE)</f>
        <v>0.63100000000000001</v>
      </c>
      <c r="E35" s="31">
        <f t="shared" si="0"/>
        <v>15210.255000000001</v>
      </c>
      <c r="F35" s="6">
        <f t="shared" si="1"/>
        <v>4.1474627612965102E-2</v>
      </c>
      <c r="G35" s="14">
        <f t="shared" si="2"/>
        <v>11274.186272791012</v>
      </c>
      <c r="H35" s="10">
        <f t="shared" si="3"/>
        <v>0.46771152345119321</v>
      </c>
    </row>
    <row r="36" spans="2:8" x14ac:dyDescent="0.25">
      <c r="B36" s="20" t="str">
        <f>+'County Data'!$B$28</f>
        <v>Lake</v>
      </c>
      <c r="C36" s="15">
        <f>VLOOKUP($B36,'County Data'!$B$10:$L$46,2,FALSE)</f>
        <v>8075</v>
      </c>
      <c r="D36" s="29">
        <f>VLOOKUP($B36,'County Data'!$B$10:$L$46,8,FALSE)</f>
        <v>0.63300000000000001</v>
      </c>
      <c r="E36" s="31">
        <f t="shared" si="0"/>
        <v>5111.4750000000004</v>
      </c>
      <c r="F36" s="6">
        <f t="shared" si="1"/>
        <v>1.393773622979896E-2</v>
      </c>
      <c r="G36" s="14">
        <f t="shared" si="2"/>
        <v>3788.7412984670173</v>
      </c>
      <c r="H36" s="10">
        <f t="shared" si="3"/>
        <v>0.4691939688504046</v>
      </c>
    </row>
    <row r="37" spans="2:8" x14ac:dyDescent="0.25">
      <c r="B37" s="20" t="str">
        <f>+'County Data'!$B$39</f>
        <v>Tillamook</v>
      </c>
      <c r="C37" s="15">
        <f>VLOOKUP($B37,'County Data'!$B$10:$L$46,2,FALSE)</f>
        <v>26530</v>
      </c>
      <c r="D37" s="29">
        <f>VLOOKUP($B37,'County Data'!$B$10:$L$46,8,FALSE)</f>
        <v>0.69599999999999995</v>
      </c>
      <c r="E37" s="31">
        <f t="shared" si="0"/>
        <v>18464.879999999997</v>
      </c>
      <c r="F37" s="6">
        <f t="shared" si="1"/>
        <v>5.0349190195567849E-2</v>
      </c>
      <c r="G37" s="14">
        <f t="shared" si="2"/>
        <v>13686.588201495193</v>
      </c>
      <c r="H37" s="10">
        <f t="shared" si="3"/>
        <v>0.51589099892556323</v>
      </c>
    </row>
    <row r="38" spans="2:8" x14ac:dyDescent="0.25">
      <c r="B38" s="20" t="str">
        <f>+'County Data'!$B$21</f>
        <v>Grant</v>
      </c>
      <c r="C38" s="15">
        <f>VLOOKUP($B38,'County Data'!$B$10:$L$46,2,FALSE)</f>
        <v>7315</v>
      </c>
      <c r="D38" s="29">
        <f>VLOOKUP($B38,'County Data'!$B$10:$L$46,8,FALSE)</f>
        <v>1</v>
      </c>
      <c r="E38" s="31">
        <f t="shared" si="0"/>
        <v>7315</v>
      </c>
      <c r="F38" s="6">
        <f t="shared" si="1"/>
        <v>1.9946207409990147E-2</v>
      </c>
      <c r="G38" s="14">
        <f t="shared" si="2"/>
        <v>5422.0440476156546</v>
      </c>
      <c r="H38" s="10">
        <f t="shared" si="3"/>
        <v>0.74122269960569442</v>
      </c>
    </row>
    <row r="39" spans="2:8" x14ac:dyDescent="0.25">
      <c r="B39" s="20" t="str">
        <f>+'County Data'!$B$42</f>
        <v>Wallowa</v>
      </c>
      <c r="C39" s="15">
        <f>VLOOKUP($B39,'County Data'!$B$10:$L$46,2,FALSE)</f>
        <v>0</v>
      </c>
      <c r="D39" s="29">
        <f>VLOOKUP($B39,'County Data'!$B$10:$L$46,8,FALSE)</f>
        <v>1</v>
      </c>
      <c r="E39" s="31">
        <f t="shared" si="0"/>
        <v>0</v>
      </c>
      <c r="F39" s="6">
        <f t="shared" si="1"/>
        <v>0</v>
      </c>
      <c r="G39" s="14">
        <f t="shared" si="2"/>
        <v>0</v>
      </c>
      <c r="H39" s="10" t="e">
        <f t="shared" si="3"/>
        <v>#DIV/0!</v>
      </c>
    </row>
    <row r="40" spans="2:8" x14ac:dyDescent="0.25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Data'!$B$10:$L$46,8,FALSE)</f>
        <v>1</v>
      </c>
      <c r="E40" s="31">
        <f t="shared" si="0"/>
        <v>1440</v>
      </c>
      <c r="F40" s="6">
        <f t="shared" si="1"/>
        <v>3.9265261340240346E-3</v>
      </c>
      <c r="G40" s="14">
        <f t="shared" si="2"/>
        <v>1067.3606874321999</v>
      </c>
      <c r="H40" s="10">
        <f t="shared" si="3"/>
        <v>0.74122269960569442</v>
      </c>
    </row>
    <row r="41" spans="2:8" x14ac:dyDescent="0.25">
      <c r="B41" s="4" t="s">
        <v>2</v>
      </c>
      <c r="C41" s="5">
        <f>SUM(C7:C40)</f>
        <v>940705</v>
      </c>
      <c r="D41" s="5">
        <f>SUM(D7:D40)</f>
        <v>14.057999999999998</v>
      </c>
      <c r="E41" s="5">
        <f>SUM(E7:E40)</f>
        <v>366736.38500000001</v>
      </c>
      <c r="F41" s="8">
        <f>SUM(F7:F40)</f>
        <v>1</v>
      </c>
      <c r="G41" s="11">
        <f>SUM(G7:G40)</f>
        <v>271833.33333333331</v>
      </c>
      <c r="H41" s="12">
        <f t="shared" ref="H41" si="4">G41/C41</f>
        <v>0.28896767140956336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Input</vt:lpstr>
      <vt:lpstr>Summary</vt:lpstr>
      <vt:lpstr>County Data</vt:lpstr>
      <vt:lpstr>Population</vt:lpstr>
      <vt:lpstr>Floor</vt:lpstr>
      <vt:lpstr>Burden</vt:lpstr>
      <vt:lpstr>Health Status</vt:lpstr>
      <vt:lpstr>Ethnicity</vt:lpstr>
      <vt:lpstr>Rurality</vt:lpstr>
      <vt:lpstr>Poverty</vt:lpstr>
      <vt:lpstr>Education</vt:lpstr>
      <vt:lpstr>Language</vt:lpstr>
      <vt:lpstr>Matching</vt:lpstr>
      <vt:lpstr>Incentives</vt:lpstr>
      <vt:lpstr>'County Data'!Print_Area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Christopher J</dc:creator>
  <cp:lastModifiedBy>Ferrer Joshua S</cp:lastModifiedBy>
  <cp:lastPrinted>2021-10-28T17:42:55Z</cp:lastPrinted>
  <dcterms:created xsi:type="dcterms:W3CDTF">2016-05-10T19:52:04Z</dcterms:created>
  <dcterms:modified xsi:type="dcterms:W3CDTF">2021-11-19T17:23:18Z</dcterms:modified>
</cp:coreProperties>
</file>