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5600" windowHeight="16060" tabRatio="684" activeTab="1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8" hidden="1">Rurality!$B$6:$H$40</definedName>
    <definedName name="_xlnm.Print_Area" localSheetId="2">'County Data'!$A$1:$P$48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3" l="1"/>
  <c r="J7" i="21"/>
  <c r="C12" i="13"/>
  <c r="J11" i="21"/>
  <c r="C11" i="13"/>
  <c r="J10" i="21"/>
  <c r="C10" i="13"/>
  <c r="J9" i="21"/>
  <c r="C9" i="13"/>
  <c r="J8" i="21"/>
  <c r="C13" i="13"/>
  <c r="D16" i="13"/>
  <c r="C17" i="13"/>
  <c r="D32" i="13"/>
  <c r="D31" i="13"/>
  <c r="D33" i="13"/>
  <c r="D30" i="13"/>
  <c r="D29" i="13"/>
  <c r="D28" i="13"/>
  <c r="D27" i="13"/>
  <c r="D25" i="13"/>
  <c r="D41" i="8"/>
  <c r="T4" i="9"/>
  <c r="O4" i="9"/>
  <c r="J4" i="9"/>
  <c r="E4" i="9"/>
  <c r="I7" i="21"/>
  <c r="B39" i="21"/>
  <c r="C39" i="21"/>
  <c r="B34" i="21"/>
  <c r="C34" i="21"/>
  <c r="B17" i="21"/>
  <c r="C17" i="21"/>
  <c r="C45" i="21"/>
  <c r="C36" i="2"/>
  <c r="C47" i="2"/>
  <c r="D11" i="2"/>
  <c r="D12" i="2"/>
  <c r="D13" i="2"/>
  <c r="D14" i="2"/>
  <c r="D15" i="2"/>
  <c r="D16" i="2"/>
  <c r="D17" i="2"/>
  <c r="D18" i="2"/>
  <c r="D19" i="2"/>
  <c r="D20" i="2"/>
  <c r="D17" i="2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/>
  <c r="D39" i="2"/>
  <c r="D40" i="2"/>
  <c r="D41" i="2"/>
  <c r="D42" i="2"/>
  <c r="D43" i="2"/>
  <c r="D39" i="21"/>
  <c r="D44" i="2"/>
  <c r="D45" i="2"/>
  <c r="D46" i="2"/>
  <c r="D10" i="2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3" i="1"/>
  <c r="C21" i="13"/>
  <c r="I11" i="21"/>
  <c r="C20" i="13"/>
  <c r="I10" i="21"/>
  <c r="C19" i="13"/>
  <c r="I9" i="21"/>
  <c r="C18" i="13"/>
  <c r="I8" i="2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39" i="13"/>
  <c r="C36" i="13"/>
  <c r="C25" i="13"/>
  <c r="C43" i="13"/>
  <c r="N8" i="2"/>
  <c r="C44" i="13"/>
  <c r="O8" i="2"/>
  <c r="C45" i="13"/>
  <c r="P8" i="2"/>
  <c r="C42" i="13"/>
  <c r="M8" i="2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8" i="13"/>
  <c r="C27" i="13"/>
  <c r="C32" i="13"/>
  <c r="C31" i="13"/>
  <c r="C33" i="13"/>
  <c r="C29" i="13"/>
  <c r="C26" i="13"/>
  <c r="C30" i="13"/>
  <c r="C43" i="21"/>
  <c r="D43" i="21"/>
  <c r="B7" i="9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/>
  <c r="F7" i="8"/>
  <c r="B8" i="8"/>
  <c r="E8" i="8"/>
  <c r="B11" i="8"/>
  <c r="E11" i="8"/>
  <c r="B9" i="8"/>
  <c r="E9" i="8"/>
  <c r="B10" i="8"/>
  <c r="E10" i="8"/>
  <c r="B34" i="8"/>
  <c r="E34" i="8"/>
  <c r="B15" i="8"/>
  <c r="B14" i="8"/>
  <c r="B25" i="8"/>
  <c r="B24" i="8"/>
  <c r="E24" i="8"/>
  <c r="B22" i="8"/>
  <c r="E22" i="8"/>
  <c r="B31" i="8"/>
  <c r="E31" i="8"/>
  <c r="B39" i="8"/>
  <c r="B19" i="8"/>
  <c r="B38" i="8"/>
  <c r="E38" i="8"/>
  <c r="B27" i="8"/>
  <c r="B18" i="8"/>
  <c r="E18" i="8"/>
  <c r="B28" i="8"/>
  <c r="E28" i="8"/>
  <c r="B20" i="8"/>
  <c r="B40" i="8"/>
  <c r="E40" i="8"/>
  <c r="B12" i="8"/>
  <c r="B36" i="8"/>
  <c r="B21" i="8"/>
  <c r="B33" i="8"/>
  <c r="B23" i="8"/>
  <c r="E23" i="8"/>
  <c r="B30" i="8"/>
  <c r="E30" i="8"/>
  <c r="B37" i="8"/>
  <c r="B26" i="8"/>
  <c r="E26" i="8"/>
  <c r="B29" i="8"/>
  <c r="E29" i="8"/>
  <c r="B16" i="8"/>
  <c r="B35" i="8"/>
  <c r="B17" i="8"/>
  <c r="B32" i="8"/>
  <c r="E32" i="8"/>
  <c r="B13" i="8"/>
  <c r="E13" i="8"/>
  <c r="B7" i="18"/>
  <c r="B9" i="18"/>
  <c r="C9" i="18"/>
  <c r="B22" i="18"/>
  <c r="C22" i="18"/>
  <c r="B18" i="18"/>
  <c r="B10" i="18"/>
  <c r="C10" i="18"/>
  <c r="B19" i="18"/>
  <c r="C19" i="18"/>
  <c r="B13" i="18"/>
  <c r="C13" i="18"/>
  <c r="B8" i="18"/>
  <c r="C8" i="18"/>
  <c r="B17" i="18"/>
  <c r="C17" i="18"/>
  <c r="B15" i="18"/>
  <c r="C15" i="18"/>
  <c r="B24" i="18"/>
  <c r="B32" i="18"/>
  <c r="B36" i="18"/>
  <c r="C36" i="18"/>
  <c r="B16" i="18"/>
  <c r="B29" i="18"/>
  <c r="C29" i="18"/>
  <c r="B37" i="18"/>
  <c r="C37" i="18"/>
  <c r="B21" i="18"/>
  <c r="C21" i="18"/>
  <c r="B30" i="18"/>
  <c r="C30" i="18"/>
  <c r="B33" i="18"/>
  <c r="C33" i="18"/>
  <c r="B34" i="18"/>
  <c r="C34" i="18"/>
  <c r="B40" i="18"/>
  <c r="B38" i="18"/>
  <c r="C38" i="18"/>
  <c r="B35" i="18"/>
  <c r="C35" i="18"/>
  <c r="B20" i="18"/>
  <c r="C20" i="18"/>
  <c r="B26" i="18"/>
  <c r="C26" i="18"/>
  <c r="B28" i="18"/>
  <c r="C28" i="18"/>
  <c r="B23" i="18"/>
  <c r="B25" i="18"/>
  <c r="C25" i="18"/>
  <c r="B14" i="18"/>
  <c r="B31" i="18"/>
  <c r="B27" i="18"/>
  <c r="C27" i="18"/>
  <c r="B39" i="18"/>
  <c r="B12" i="18"/>
  <c r="C12" i="18"/>
  <c r="B11" i="18"/>
  <c r="C11" i="18"/>
  <c r="B13" i="20"/>
  <c r="B9" i="20"/>
  <c r="B35" i="20"/>
  <c r="C35" i="20"/>
  <c r="B24" i="20"/>
  <c r="C24" i="20"/>
  <c r="B23" i="20"/>
  <c r="C23" i="20"/>
  <c r="B10" i="20"/>
  <c r="C10" i="20"/>
  <c r="B21" i="20"/>
  <c r="B32" i="20"/>
  <c r="C32" i="20"/>
  <c r="B28" i="20"/>
  <c r="B19" i="20"/>
  <c r="C19" i="20"/>
  <c r="B12" i="20"/>
  <c r="B30" i="20"/>
  <c r="B16" i="20"/>
  <c r="C16" i="20"/>
  <c r="B11" i="20"/>
  <c r="B8" i="20"/>
  <c r="B37" i="20"/>
  <c r="C37" i="20"/>
  <c r="B20" i="20"/>
  <c r="C20" i="20"/>
  <c r="B15" i="20"/>
  <c r="C15" i="20"/>
  <c r="B33" i="20"/>
  <c r="C33" i="20"/>
  <c r="B17" i="20"/>
  <c r="C17" i="20"/>
  <c r="B40" i="20"/>
  <c r="B34" i="20"/>
  <c r="C34" i="20"/>
  <c r="B39" i="20"/>
  <c r="C39" i="20"/>
  <c r="B22" i="20"/>
  <c r="C22" i="20"/>
  <c r="B25" i="20"/>
  <c r="C25" i="20"/>
  <c r="B7" i="20"/>
  <c r="C7" i="20"/>
  <c r="B14" i="20"/>
  <c r="C14" i="20"/>
  <c r="B31" i="20"/>
  <c r="C31" i="20"/>
  <c r="B29" i="20"/>
  <c r="C29" i="20"/>
  <c r="B36" i="20"/>
  <c r="B27" i="20"/>
  <c r="C27" i="20"/>
  <c r="B38" i="20"/>
  <c r="C38" i="20"/>
  <c r="B26" i="20"/>
  <c r="B18" i="20"/>
  <c r="C18" i="20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/>
  <c r="B15" i="17"/>
  <c r="C15" i="17"/>
  <c r="B38" i="17"/>
  <c r="C38" i="17"/>
  <c r="B23" i="17"/>
  <c r="C23" i="17"/>
  <c r="B24" i="17"/>
  <c r="C24" i="17"/>
  <c r="B9" i="17"/>
  <c r="C9" i="17"/>
  <c r="B21" i="17"/>
  <c r="C21" i="17"/>
  <c r="B32" i="17"/>
  <c r="C32" i="17"/>
  <c r="B34" i="17"/>
  <c r="C34" i="17"/>
  <c r="B10" i="17"/>
  <c r="C10" i="17"/>
  <c r="B16" i="17"/>
  <c r="C16" i="17"/>
  <c r="B13" i="17"/>
  <c r="C13" i="17"/>
  <c r="B8" i="17"/>
  <c r="C8" i="17"/>
  <c r="B37" i="17"/>
  <c r="C37" i="17"/>
  <c r="B7" i="17"/>
  <c r="C7" i="17"/>
  <c r="B28" i="17"/>
  <c r="C28" i="17"/>
  <c r="B19" i="17"/>
  <c r="C19" i="17"/>
  <c r="B11" i="17"/>
  <c r="C11" i="17"/>
  <c r="B17" i="17"/>
  <c r="B14" i="17"/>
  <c r="C14" i="17"/>
  <c r="B18" i="17"/>
  <c r="C18" i="17"/>
  <c r="B27" i="17"/>
  <c r="C27" i="17"/>
  <c r="B40" i="17"/>
  <c r="C40" i="17"/>
  <c r="B22" i="17"/>
  <c r="C22" i="17"/>
  <c r="B29" i="17"/>
  <c r="C29" i="17"/>
  <c r="B30" i="17"/>
  <c r="C30" i="17"/>
  <c r="B31" i="17"/>
  <c r="C31" i="17"/>
  <c r="B35" i="17"/>
  <c r="C35" i="17"/>
  <c r="B39" i="17"/>
  <c r="C39" i="17"/>
  <c r="B33" i="17"/>
  <c r="C33" i="17"/>
  <c r="B26" i="17"/>
  <c r="C26" i="17"/>
  <c r="B12" i="17"/>
  <c r="C12" i="17"/>
  <c r="B25" i="17"/>
  <c r="C25" i="17"/>
  <c r="B20" i="17"/>
  <c r="C20" i="17"/>
  <c r="B7" i="16"/>
  <c r="C7" i="16"/>
  <c r="B8" i="16"/>
  <c r="C8" i="16"/>
  <c r="B22" i="16"/>
  <c r="B18" i="16"/>
  <c r="C18" i="16"/>
  <c r="B9" i="16"/>
  <c r="C9" i="16"/>
  <c r="B15" i="16"/>
  <c r="C15" i="16"/>
  <c r="B17" i="16"/>
  <c r="B14" i="16"/>
  <c r="B21" i="16"/>
  <c r="C21" i="16"/>
  <c r="B12" i="16"/>
  <c r="C12" i="16"/>
  <c r="B19" i="16"/>
  <c r="C19" i="16"/>
  <c r="B31" i="16"/>
  <c r="C31" i="16"/>
  <c r="B34" i="16"/>
  <c r="B11" i="16"/>
  <c r="C11" i="16"/>
  <c r="B24" i="16"/>
  <c r="C24" i="16"/>
  <c r="B35" i="16"/>
  <c r="C35" i="16"/>
  <c r="B23" i="16"/>
  <c r="C23" i="16"/>
  <c r="B30" i="16"/>
  <c r="C30" i="16"/>
  <c r="B32" i="16"/>
  <c r="B33" i="16"/>
  <c r="B39" i="16"/>
  <c r="B36" i="16"/>
  <c r="C36" i="16"/>
  <c r="B38" i="16"/>
  <c r="C38" i="16"/>
  <c r="B20" i="16"/>
  <c r="C20" i="16"/>
  <c r="B26" i="16"/>
  <c r="C26" i="16"/>
  <c r="B28" i="16"/>
  <c r="C28" i="16"/>
  <c r="B25" i="16"/>
  <c r="B29" i="16"/>
  <c r="C29" i="16"/>
  <c r="B16" i="16"/>
  <c r="C16" i="16"/>
  <c r="B40" i="16"/>
  <c r="C40" i="16"/>
  <c r="B27" i="16"/>
  <c r="C27" i="16"/>
  <c r="B37" i="16"/>
  <c r="C37" i="16"/>
  <c r="B13" i="16"/>
  <c r="C13" i="16"/>
  <c r="B10" i="16"/>
  <c r="C10" i="16"/>
  <c r="B40" i="15"/>
  <c r="D40" i="15"/>
  <c r="B8" i="15"/>
  <c r="D8" i="15"/>
  <c r="B9" i="15"/>
  <c r="B38" i="15"/>
  <c r="B20" i="15"/>
  <c r="D20" i="15"/>
  <c r="B7" i="15"/>
  <c r="D7" i="15"/>
  <c r="B35" i="15"/>
  <c r="D35" i="15"/>
  <c r="B36" i="15"/>
  <c r="D36" i="15"/>
  <c r="B32" i="15"/>
  <c r="D32" i="15"/>
  <c r="B26" i="15"/>
  <c r="B16" i="15"/>
  <c r="B24" i="15"/>
  <c r="B10" i="15"/>
  <c r="B13" i="15"/>
  <c r="B15" i="15"/>
  <c r="D15" i="15"/>
  <c r="B33" i="15"/>
  <c r="B27" i="15"/>
  <c r="B14" i="15"/>
  <c r="B17" i="15"/>
  <c r="D17" i="15"/>
  <c r="B19" i="15"/>
  <c r="D19" i="15"/>
  <c r="B37" i="15"/>
  <c r="B28" i="15"/>
  <c r="B39" i="15"/>
  <c r="B22" i="15"/>
  <c r="B30" i="15"/>
  <c r="D30" i="15"/>
  <c r="B12" i="15"/>
  <c r="D12" i="15"/>
  <c r="B18" i="15"/>
  <c r="B31" i="15"/>
  <c r="B25" i="15"/>
  <c r="B23" i="15"/>
  <c r="D23" i="15"/>
  <c r="B21" i="15"/>
  <c r="D21" i="15"/>
  <c r="B29" i="15"/>
  <c r="D29" i="15"/>
  <c r="B34" i="15"/>
  <c r="D34" i="15"/>
  <c r="B11" i="15"/>
  <c r="D11" i="15"/>
  <c r="B16" i="4"/>
  <c r="C16" i="4"/>
  <c r="B13" i="14"/>
  <c r="C13" i="14"/>
  <c r="B16" i="14"/>
  <c r="B8" i="14"/>
  <c r="B27" i="14"/>
  <c r="C27" i="14"/>
  <c r="B20" i="14"/>
  <c r="B23" i="14"/>
  <c r="B28" i="14"/>
  <c r="C28" i="14"/>
  <c r="B11" i="14"/>
  <c r="B30" i="14"/>
  <c r="C30" i="14"/>
  <c r="B18" i="14"/>
  <c r="C18" i="14"/>
  <c r="B15" i="14"/>
  <c r="B17" i="14"/>
  <c r="B21" i="14"/>
  <c r="C21" i="14"/>
  <c r="B22" i="14"/>
  <c r="B37" i="14"/>
  <c r="C37" i="14"/>
  <c r="B19" i="14"/>
  <c r="B29" i="14"/>
  <c r="B35" i="14"/>
  <c r="C35" i="14"/>
  <c r="B33" i="14"/>
  <c r="C33" i="14"/>
  <c r="B38" i="14"/>
  <c r="C38" i="14"/>
  <c r="B24" i="14"/>
  <c r="B9" i="14"/>
  <c r="C9" i="14"/>
  <c r="B39" i="14"/>
  <c r="C39" i="14"/>
  <c r="B14" i="14"/>
  <c r="B34" i="14"/>
  <c r="B12" i="14"/>
  <c r="B40" i="14"/>
  <c r="B25" i="14"/>
  <c r="B36" i="14"/>
  <c r="C36" i="14"/>
  <c r="B26" i="14"/>
  <c r="B32" i="14"/>
  <c r="C32" i="14"/>
  <c r="B10" i="14"/>
  <c r="B7" i="14"/>
  <c r="B31" i="14"/>
  <c r="B21" i="4"/>
  <c r="C21" i="4"/>
  <c r="B28" i="4"/>
  <c r="C28" i="4"/>
  <c r="B26" i="4"/>
  <c r="C26" i="4"/>
  <c r="B14" i="4"/>
  <c r="C14" i="4"/>
  <c r="B19" i="4"/>
  <c r="C19" i="4"/>
  <c r="B10" i="4"/>
  <c r="C10" i="4"/>
  <c r="B35" i="4"/>
  <c r="C35" i="4"/>
  <c r="B17" i="4"/>
  <c r="C17" i="4"/>
  <c r="B8" i="4"/>
  <c r="C8" i="4"/>
  <c r="B29" i="4"/>
  <c r="C29" i="4"/>
  <c r="B15" i="4"/>
  <c r="C15" i="4"/>
  <c r="B12" i="4"/>
  <c r="C12" i="4"/>
  <c r="B25" i="4"/>
  <c r="C25" i="4"/>
  <c r="B23" i="4"/>
  <c r="C23" i="4"/>
  <c r="B13" i="4"/>
  <c r="C13" i="4"/>
  <c r="B32" i="4"/>
  <c r="C32" i="4"/>
  <c r="B31" i="4"/>
  <c r="C31" i="4"/>
  <c r="B30" i="4"/>
  <c r="C30" i="4"/>
  <c r="B18" i="4"/>
  <c r="C18" i="4"/>
  <c r="B22" i="4"/>
  <c r="C22" i="4"/>
  <c r="B27" i="4"/>
  <c r="C27" i="4"/>
  <c r="B24" i="4"/>
  <c r="C24" i="4"/>
  <c r="B9" i="4"/>
  <c r="C9" i="4"/>
  <c r="B34" i="4"/>
  <c r="C34" i="4"/>
  <c r="B11" i="4"/>
  <c r="C11" i="4"/>
  <c r="B33" i="4"/>
  <c r="C33" i="4"/>
  <c r="B7" i="4"/>
  <c r="C7" i="4"/>
  <c r="B20" i="4"/>
  <c r="C20" i="4"/>
  <c r="B38" i="4"/>
  <c r="C38" i="4"/>
  <c r="B36" i="4"/>
  <c r="C36" i="4"/>
  <c r="B37" i="4"/>
  <c r="C37" i="4"/>
  <c r="B39" i="4"/>
  <c r="C39" i="4"/>
  <c r="B40" i="4"/>
  <c r="C40" i="4"/>
  <c r="D10" i="18"/>
  <c r="D11" i="18"/>
  <c r="J8" i="2"/>
  <c r="I8" i="2"/>
  <c r="L8" i="2"/>
  <c r="K8" i="2"/>
  <c r="H8" i="2"/>
  <c r="G8" i="2"/>
  <c r="F8" i="2"/>
  <c r="C5" i="2"/>
  <c r="E8" i="2"/>
  <c r="E9" i="2"/>
  <c r="C8" i="2"/>
  <c r="C28" i="15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/>
  <c r="E35" i="8"/>
  <c r="F35" i="8"/>
  <c r="E37" i="8"/>
  <c r="F37" i="8"/>
  <c r="E21" i="8"/>
  <c r="F21" i="8"/>
  <c r="E20" i="8"/>
  <c r="F20" i="8"/>
  <c r="E15" i="8"/>
  <c r="F15" i="8"/>
  <c r="E33" i="8"/>
  <c r="F33" i="8"/>
  <c r="E16" i="8"/>
  <c r="F16" i="8"/>
  <c r="E36" i="8"/>
  <c r="F36" i="8"/>
  <c r="E19" i="8"/>
  <c r="F19" i="8"/>
  <c r="E27" i="8"/>
  <c r="F27" i="8"/>
  <c r="E14" i="8"/>
  <c r="F14" i="8"/>
  <c r="E12" i="8"/>
  <c r="F12" i="8"/>
  <c r="E39" i="8"/>
  <c r="F39" i="8"/>
  <c r="E25" i="8"/>
  <c r="F25" i="8"/>
  <c r="C7" i="8"/>
  <c r="D24" i="17"/>
  <c r="F8" i="8"/>
  <c r="G8" i="8"/>
  <c r="C31" i="8"/>
  <c r="F31" i="8"/>
  <c r="C22" i="8"/>
  <c r="F22" i="8"/>
  <c r="C23" i="8"/>
  <c r="F23" i="8"/>
  <c r="D40" i="16"/>
  <c r="E40" i="16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/>
  <c r="D16" i="16"/>
  <c r="E16" i="16"/>
  <c r="D35" i="20"/>
  <c r="E35" i="20"/>
  <c r="D29" i="17"/>
  <c r="E29" i="17"/>
  <c r="D19" i="17"/>
  <c r="E19" i="17"/>
  <c r="E14" i="15"/>
  <c r="D24" i="20"/>
  <c r="E24" i="20"/>
  <c r="D39" i="14"/>
  <c r="E39" i="14"/>
  <c r="C15" i="9"/>
  <c r="N15" i="9"/>
  <c r="O15" i="9"/>
  <c r="I15" i="9"/>
  <c r="J15" i="9"/>
  <c r="D15" i="9"/>
  <c r="S15" i="9"/>
  <c r="T15" i="9"/>
  <c r="C19" i="9"/>
  <c r="D19" i="9"/>
  <c r="S19" i="9"/>
  <c r="T19" i="9"/>
  <c r="N19" i="9"/>
  <c r="O19" i="9"/>
  <c r="I19" i="9"/>
  <c r="J19" i="9"/>
  <c r="C29" i="9"/>
  <c r="I29" i="9"/>
  <c r="J29" i="9"/>
  <c r="D29" i="9"/>
  <c r="S29" i="9"/>
  <c r="T29" i="9"/>
  <c r="N29" i="9"/>
  <c r="O29" i="9"/>
  <c r="C39" i="9"/>
  <c r="N39" i="9"/>
  <c r="O39" i="9"/>
  <c r="I39" i="9"/>
  <c r="J39" i="9"/>
  <c r="D39" i="9"/>
  <c r="S39" i="9"/>
  <c r="T39" i="9"/>
  <c r="D32" i="14"/>
  <c r="E32" i="14"/>
  <c r="C40" i="9"/>
  <c r="S40" i="9"/>
  <c r="T40" i="9"/>
  <c r="N40" i="9"/>
  <c r="O40" i="9"/>
  <c r="I40" i="9"/>
  <c r="J40" i="9"/>
  <c r="D40" i="9"/>
  <c r="C9" i="9"/>
  <c r="S9" i="9"/>
  <c r="T9" i="9"/>
  <c r="I9" i="9"/>
  <c r="J9" i="9"/>
  <c r="N9" i="9"/>
  <c r="O9" i="9"/>
  <c r="D9" i="9"/>
  <c r="M9" i="2"/>
  <c r="N9" i="2"/>
  <c r="O9" i="2"/>
  <c r="D37" i="14"/>
  <c r="E37" i="14"/>
  <c r="C37" i="9"/>
  <c r="I37" i="9"/>
  <c r="J37" i="9"/>
  <c r="S37" i="9"/>
  <c r="T37" i="9"/>
  <c r="D37" i="9"/>
  <c r="N37" i="9"/>
  <c r="O37" i="9"/>
  <c r="C20" i="9"/>
  <c r="I20" i="9"/>
  <c r="J20" i="9"/>
  <c r="S20" i="9"/>
  <c r="T20" i="9"/>
  <c r="D20" i="9"/>
  <c r="N20" i="9"/>
  <c r="O20" i="9"/>
  <c r="C22" i="9"/>
  <c r="N22" i="9"/>
  <c r="O22" i="9"/>
  <c r="I22" i="9"/>
  <c r="J22" i="9"/>
  <c r="D22" i="9"/>
  <c r="S22" i="9"/>
  <c r="T22" i="9"/>
  <c r="C11" i="9"/>
  <c r="D11" i="9"/>
  <c r="S11" i="9"/>
  <c r="T11" i="9"/>
  <c r="N11" i="9"/>
  <c r="O11" i="9"/>
  <c r="I11" i="9"/>
  <c r="J11" i="9"/>
  <c r="C36" i="9"/>
  <c r="I36" i="9"/>
  <c r="J36" i="9"/>
  <c r="S36" i="9"/>
  <c r="T36" i="9"/>
  <c r="D36" i="9"/>
  <c r="N36" i="9"/>
  <c r="O36" i="9"/>
  <c r="C34" i="9"/>
  <c r="D34" i="9"/>
  <c r="N34" i="9"/>
  <c r="O34" i="9"/>
  <c r="S34" i="9"/>
  <c r="T34" i="9"/>
  <c r="I34" i="9"/>
  <c r="J34" i="9"/>
  <c r="D7" i="17"/>
  <c r="E7" i="17"/>
  <c r="C12" i="9"/>
  <c r="I12" i="9"/>
  <c r="J12" i="9"/>
  <c r="D12" i="9"/>
  <c r="S12" i="9"/>
  <c r="T12" i="9"/>
  <c r="N12" i="9"/>
  <c r="O12" i="9"/>
  <c r="C10" i="9"/>
  <c r="D10" i="9"/>
  <c r="S10" i="9"/>
  <c r="T10" i="9"/>
  <c r="N10" i="9"/>
  <c r="O10" i="9"/>
  <c r="I10" i="9"/>
  <c r="J10" i="9"/>
  <c r="C26" i="9"/>
  <c r="D26" i="9"/>
  <c r="S26" i="9"/>
  <c r="T26" i="9"/>
  <c r="N26" i="9"/>
  <c r="O26" i="9"/>
  <c r="I26" i="9"/>
  <c r="J26" i="9"/>
  <c r="C31" i="9"/>
  <c r="N31" i="9"/>
  <c r="O31" i="9"/>
  <c r="I31" i="9"/>
  <c r="J31" i="9"/>
  <c r="S31" i="9"/>
  <c r="T31" i="9"/>
  <c r="D31" i="9"/>
  <c r="D14" i="20"/>
  <c r="E14" i="20"/>
  <c r="C13" i="9"/>
  <c r="I13" i="9"/>
  <c r="J13" i="9"/>
  <c r="D13" i="9"/>
  <c r="S13" i="9"/>
  <c r="T13" i="9"/>
  <c r="N13" i="9"/>
  <c r="O13" i="9"/>
  <c r="C30" i="9"/>
  <c r="N30" i="9"/>
  <c r="O30" i="9"/>
  <c r="D30" i="9"/>
  <c r="I30" i="9"/>
  <c r="J30" i="9"/>
  <c r="S30" i="9"/>
  <c r="T30" i="9"/>
  <c r="C27" i="9"/>
  <c r="D27" i="9"/>
  <c r="N27" i="9"/>
  <c r="O27" i="9"/>
  <c r="S27" i="9"/>
  <c r="T27" i="9"/>
  <c r="I27" i="9"/>
  <c r="J27" i="9"/>
  <c r="C24" i="9"/>
  <c r="S24" i="9"/>
  <c r="T24" i="9"/>
  <c r="N24" i="9"/>
  <c r="O24" i="9"/>
  <c r="I24" i="9"/>
  <c r="J24" i="9"/>
  <c r="D24" i="9"/>
  <c r="C8" i="9"/>
  <c r="S8" i="9"/>
  <c r="T8" i="9"/>
  <c r="N8" i="9"/>
  <c r="O8" i="9"/>
  <c r="I8" i="9"/>
  <c r="J8" i="9"/>
  <c r="D8" i="9"/>
  <c r="C32" i="9"/>
  <c r="S32" i="9"/>
  <c r="T32" i="9"/>
  <c r="I32" i="9"/>
  <c r="J32" i="9"/>
  <c r="N32" i="9"/>
  <c r="O32" i="9"/>
  <c r="D32" i="9"/>
  <c r="C23" i="9"/>
  <c r="N23" i="9"/>
  <c r="O23" i="9"/>
  <c r="I23" i="9"/>
  <c r="J23" i="9"/>
  <c r="S23" i="9"/>
  <c r="T23" i="9"/>
  <c r="D23" i="9"/>
  <c r="C18" i="9"/>
  <c r="D18" i="9"/>
  <c r="N18" i="9"/>
  <c r="O18" i="9"/>
  <c r="S18" i="9"/>
  <c r="T18" i="9"/>
  <c r="I18" i="9"/>
  <c r="J18" i="9"/>
  <c r="C25" i="9"/>
  <c r="S25" i="9"/>
  <c r="T25" i="9"/>
  <c r="I25" i="9"/>
  <c r="J25" i="9"/>
  <c r="N25" i="9"/>
  <c r="O25" i="9"/>
  <c r="D25" i="9"/>
  <c r="C7" i="9"/>
  <c r="S7" i="9"/>
  <c r="T7" i="9"/>
  <c r="I7" i="9"/>
  <c r="J7" i="9"/>
  <c r="N7" i="9"/>
  <c r="O7" i="9"/>
  <c r="D7" i="9"/>
  <c r="D21" i="17"/>
  <c r="E21" i="17"/>
  <c r="C17" i="9"/>
  <c r="S17" i="9"/>
  <c r="T17" i="9"/>
  <c r="N17" i="9"/>
  <c r="O17" i="9"/>
  <c r="I17" i="9"/>
  <c r="J17" i="9"/>
  <c r="D17" i="9"/>
  <c r="C33" i="9"/>
  <c r="S33" i="9"/>
  <c r="T33" i="9"/>
  <c r="N33" i="9"/>
  <c r="O33" i="9"/>
  <c r="I33" i="9"/>
  <c r="J33" i="9"/>
  <c r="D33" i="9"/>
  <c r="C28" i="9"/>
  <c r="I28" i="9"/>
  <c r="J28" i="9"/>
  <c r="D28" i="9"/>
  <c r="S28" i="9"/>
  <c r="T28" i="9"/>
  <c r="N28" i="9"/>
  <c r="O28" i="9"/>
  <c r="C14" i="9"/>
  <c r="N14" i="9"/>
  <c r="O14" i="9"/>
  <c r="D14" i="9"/>
  <c r="I14" i="9"/>
  <c r="J14" i="9"/>
  <c r="S14" i="9"/>
  <c r="T14" i="9"/>
  <c r="E26" i="15"/>
  <c r="D15" i="20"/>
  <c r="E15" i="20"/>
  <c r="C35" i="9"/>
  <c r="D35" i="9"/>
  <c r="S35" i="9"/>
  <c r="T35" i="9"/>
  <c r="N35" i="9"/>
  <c r="O35" i="9"/>
  <c r="I35" i="9"/>
  <c r="J35" i="9"/>
  <c r="C21" i="9"/>
  <c r="I21" i="9"/>
  <c r="J21" i="9"/>
  <c r="S21" i="9"/>
  <c r="T21" i="9"/>
  <c r="D21" i="9"/>
  <c r="N21" i="9"/>
  <c r="O21" i="9"/>
  <c r="C38" i="9"/>
  <c r="N38" i="9"/>
  <c r="O38" i="9"/>
  <c r="I38" i="9"/>
  <c r="J38" i="9"/>
  <c r="D38" i="9"/>
  <c r="S38" i="9"/>
  <c r="T38" i="9"/>
  <c r="C16" i="9"/>
  <c r="S16" i="9"/>
  <c r="T16" i="9"/>
  <c r="I16" i="9"/>
  <c r="J16" i="9"/>
  <c r="N16" i="9"/>
  <c r="O16" i="9"/>
  <c r="D16" i="9"/>
  <c r="D24" i="14"/>
  <c r="C24" i="14"/>
  <c r="D25" i="14"/>
  <c r="C25" i="14"/>
  <c r="D17" i="14"/>
  <c r="C17" i="14"/>
  <c r="C37" i="8"/>
  <c r="C20" i="8"/>
  <c r="D28" i="14"/>
  <c r="E28" i="14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/>
  <c r="D36" i="18"/>
  <c r="E36" i="18"/>
  <c r="D31" i="18"/>
  <c r="C31" i="18"/>
  <c r="D16" i="18"/>
  <c r="C16" i="18"/>
  <c r="D39" i="18"/>
  <c r="C39" i="18"/>
  <c r="D30" i="18"/>
  <c r="E30" i="18"/>
  <c r="D14" i="18"/>
  <c r="C14" i="18"/>
  <c r="D40" i="18"/>
  <c r="C40" i="18"/>
  <c r="D28" i="18"/>
  <c r="E28" i="18"/>
  <c r="D32" i="18"/>
  <c r="C32" i="18"/>
  <c r="D18" i="18"/>
  <c r="C18" i="18"/>
  <c r="D15" i="18"/>
  <c r="E15" i="18"/>
  <c r="D23" i="18"/>
  <c r="C23" i="18"/>
  <c r="D24" i="18"/>
  <c r="C24" i="18"/>
  <c r="D21" i="20"/>
  <c r="C21" i="20"/>
  <c r="D36" i="20"/>
  <c r="C36" i="20"/>
  <c r="D11" i="20"/>
  <c r="C11" i="20"/>
  <c r="D38" i="20"/>
  <c r="E38" i="20"/>
  <c r="D40" i="20"/>
  <c r="C40" i="20"/>
  <c r="D22" i="20"/>
  <c r="E22" i="20"/>
  <c r="D30" i="20"/>
  <c r="C30" i="20"/>
  <c r="D12" i="20"/>
  <c r="C12" i="20"/>
  <c r="D8" i="20"/>
  <c r="C8" i="20"/>
  <c r="D32" i="20"/>
  <c r="E32" i="20"/>
  <c r="D9" i="20"/>
  <c r="C9" i="20"/>
  <c r="D31" i="20"/>
  <c r="E31" i="20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/>
  <c r="D22" i="17"/>
  <c r="E22" i="17"/>
  <c r="D28" i="17"/>
  <c r="E28" i="17"/>
  <c r="D35" i="17"/>
  <c r="E35" i="17"/>
  <c r="D14" i="17"/>
  <c r="E14" i="17"/>
  <c r="D12" i="17"/>
  <c r="E12" i="17"/>
  <c r="D10" i="16"/>
  <c r="E10" i="16"/>
  <c r="D14" i="16"/>
  <c r="C14" i="16"/>
  <c r="D12" i="16"/>
  <c r="E12" i="16"/>
  <c r="D17" i="16"/>
  <c r="C17" i="16"/>
  <c r="D8" i="16"/>
  <c r="E8" i="16"/>
  <c r="D39" i="16"/>
  <c r="C39" i="16"/>
  <c r="D34" i="16"/>
  <c r="C34" i="16"/>
  <c r="D30" i="16"/>
  <c r="E30" i="16"/>
  <c r="D33" i="16"/>
  <c r="C33" i="16"/>
  <c r="D28" i="16"/>
  <c r="E28" i="16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E33" i="15"/>
  <c r="C11" i="15"/>
  <c r="C12" i="15"/>
  <c r="C8" i="15"/>
  <c r="E18" i="15"/>
  <c r="C34" i="15"/>
  <c r="C30" i="15"/>
  <c r="C32" i="15"/>
  <c r="C40" i="15"/>
  <c r="D31" i="17"/>
  <c r="P9" i="2"/>
  <c r="G9" i="2"/>
  <c r="H9" i="2"/>
  <c r="I9" i="2"/>
  <c r="F9" i="2"/>
  <c r="C9" i="2"/>
  <c r="J9" i="2"/>
  <c r="K9" i="2"/>
  <c r="D9" i="2"/>
  <c r="L9" i="2"/>
  <c r="E27" i="15"/>
  <c r="D11" i="16"/>
  <c r="E11" i="16"/>
  <c r="D17" i="20"/>
  <c r="E17" i="20"/>
  <c r="D19" i="18"/>
  <c r="E19" i="18"/>
  <c r="D35" i="16"/>
  <c r="E35" i="16"/>
  <c r="D29" i="18"/>
  <c r="E29" i="18"/>
  <c r="D15" i="16"/>
  <c r="E15" i="16"/>
  <c r="D26" i="17"/>
  <c r="E26" i="17"/>
  <c r="D40" i="17"/>
  <c r="E40" i="17"/>
  <c r="D9" i="14"/>
  <c r="E9" i="14"/>
  <c r="D36" i="17"/>
  <c r="E36" i="17"/>
  <c r="E39" i="15"/>
  <c r="D38" i="14"/>
  <c r="E38" i="14"/>
  <c r="D27" i="14"/>
  <c r="E27" i="14"/>
  <c r="D19" i="20"/>
  <c r="E19" i="20"/>
  <c r="D17" i="18"/>
  <c r="E17" i="18"/>
  <c r="D21" i="16"/>
  <c r="E21" i="16"/>
  <c r="E28" i="15"/>
  <c r="D39" i="20"/>
  <c r="E39" i="20"/>
  <c r="D23" i="16"/>
  <c r="E23" i="16"/>
  <c r="D16" i="17"/>
  <c r="E16" i="17"/>
  <c r="D36" i="14"/>
  <c r="E36" i="14"/>
  <c r="D26" i="16"/>
  <c r="E26" i="16"/>
  <c r="D33" i="14"/>
  <c r="E33" i="14"/>
  <c r="D9" i="16"/>
  <c r="E9" i="16"/>
  <c r="D16" i="20"/>
  <c r="E16" i="20"/>
  <c r="D38" i="18"/>
  <c r="E38" i="18"/>
  <c r="D26" i="18"/>
  <c r="E26" i="18"/>
  <c r="D12" i="18"/>
  <c r="E12" i="18"/>
  <c r="D32" i="17"/>
  <c r="E32" i="17"/>
  <c r="D39" i="17"/>
  <c r="E39" i="17"/>
  <c r="D18" i="17"/>
  <c r="E18" i="17"/>
  <c r="D13" i="16"/>
  <c r="E13" i="16"/>
  <c r="D7" i="16"/>
  <c r="E7" i="16"/>
  <c r="E13" i="15"/>
  <c r="D27" i="20"/>
  <c r="E27" i="20"/>
  <c r="D21" i="18"/>
  <c r="E21" i="18"/>
  <c r="D24" i="16"/>
  <c r="E24" i="16"/>
  <c r="E22" i="15"/>
  <c r="D13" i="18"/>
  <c r="E13" i="18"/>
  <c r="D13" i="14"/>
  <c r="E13" i="14"/>
  <c r="D29" i="20"/>
  <c r="E29" i="20"/>
  <c r="D20" i="20"/>
  <c r="E20" i="20"/>
  <c r="D35" i="18"/>
  <c r="E35" i="18"/>
  <c r="D19" i="16"/>
  <c r="E19" i="16"/>
  <c r="D21" i="14"/>
  <c r="E21" i="14"/>
  <c r="D25" i="20"/>
  <c r="E25" i="20"/>
  <c r="D33" i="18"/>
  <c r="E33" i="18"/>
  <c r="D22" i="18"/>
  <c r="E22" i="18"/>
  <c r="C3" i="17"/>
  <c r="C3" i="21"/>
  <c r="E7" i="21"/>
  <c r="D11" i="17"/>
  <c r="E11" i="17"/>
  <c r="E37" i="15"/>
  <c r="D38" i="16"/>
  <c r="E38" i="16"/>
  <c r="D25" i="17"/>
  <c r="E25" i="17"/>
  <c r="D37" i="17"/>
  <c r="E37" i="17"/>
  <c r="E25" i="15"/>
  <c r="D27" i="18"/>
  <c r="E27" i="18"/>
  <c r="D20" i="18"/>
  <c r="E20" i="18"/>
  <c r="D10" i="17"/>
  <c r="E10" i="17"/>
  <c r="D27" i="16"/>
  <c r="E27" i="16"/>
  <c r="D30" i="17"/>
  <c r="E30" i="17"/>
  <c r="D15" i="17"/>
  <c r="E15" i="17"/>
  <c r="E31" i="15"/>
  <c r="E16" i="15"/>
  <c r="E9" i="15"/>
  <c r="E24" i="15"/>
  <c r="D7" i="20"/>
  <c r="E7" i="20"/>
  <c r="D34" i="20"/>
  <c r="E34" i="20"/>
  <c r="D23" i="20"/>
  <c r="E23" i="20"/>
  <c r="D34" i="18"/>
  <c r="E34" i="18"/>
  <c r="D25" i="18"/>
  <c r="E25" i="18"/>
  <c r="D34" i="17"/>
  <c r="E34" i="17"/>
  <c r="D33" i="17"/>
  <c r="E33" i="17"/>
  <c r="D27" i="17"/>
  <c r="E27" i="17"/>
  <c r="D37" i="16"/>
  <c r="E37" i="16"/>
  <c r="E38" i="15"/>
  <c r="D10" i="20"/>
  <c r="E10" i="20"/>
  <c r="D37" i="18"/>
  <c r="E37" i="18"/>
  <c r="D29" i="16"/>
  <c r="E29" i="16"/>
  <c r="D20" i="16"/>
  <c r="E20" i="16"/>
  <c r="D18" i="16"/>
  <c r="E18" i="16"/>
  <c r="D8" i="18"/>
  <c r="E8" i="18"/>
  <c r="D35" i="14"/>
  <c r="E35" i="14"/>
  <c r="D18" i="14"/>
  <c r="E18" i="14"/>
  <c r="D36" i="16"/>
  <c r="E36" i="16"/>
  <c r="D31" i="16"/>
  <c r="E31" i="16"/>
  <c r="D8" i="17"/>
  <c r="E8" i="17"/>
  <c r="D20" i="17"/>
  <c r="E20" i="17"/>
  <c r="D9" i="17"/>
  <c r="E9" i="17"/>
  <c r="D38" i="17"/>
  <c r="E38" i="17"/>
  <c r="D13" i="17"/>
  <c r="E13" i="17"/>
  <c r="C3" i="18"/>
  <c r="E24" i="17"/>
  <c r="Q8" i="2"/>
  <c r="C3" i="8"/>
  <c r="C3" i="4"/>
  <c r="C2" i="9"/>
  <c r="C3" i="9"/>
  <c r="C3" i="14"/>
  <c r="C47" i="1"/>
  <c r="D30" i="14"/>
  <c r="E30" i="14"/>
  <c r="D33" i="20"/>
  <c r="E33" i="20"/>
  <c r="C41" i="4"/>
  <c r="D39" i="4"/>
  <c r="E10" i="18"/>
  <c r="C3" i="16"/>
  <c r="C3" i="15"/>
  <c r="C3" i="20"/>
  <c r="C3" i="19"/>
  <c r="E11" i="18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Q40" i="1"/>
  <c r="Q13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Q43" i="1"/>
  <c r="Q17" i="1"/>
  <c r="Q15" i="1"/>
  <c r="Q33" i="1"/>
  <c r="Q18" i="1"/>
  <c r="Q22" i="1"/>
  <c r="Q21" i="1"/>
  <c r="Q30" i="1"/>
  <c r="Q14" i="1"/>
  <c r="Q19" i="1"/>
  <c r="Q46" i="1"/>
  <c r="Q45" i="1"/>
  <c r="Q25" i="1"/>
  <c r="Q39" i="1"/>
  <c r="Q28" i="1"/>
  <c r="Q42" i="1"/>
  <c r="Q29" i="1"/>
  <c r="Q23" i="1"/>
  <c r="Q27" i="1"/>
  <c r="Q41" i="1"/>
  <c r="Q16" i="1"/>
  <c r="Q36" i="1"/>
  <c r="Q35" i="1"/>
  <c r="Q38" i="1"/>
  <c r="Q32" i="1"/>
  <c r="Q34" i="1"/>
  <c r="Q44" i="1"/>
  <c r="Q24" i="1"/>
  <c r="Q31" i="1"/>
  <c r="Q20" i="1"/>
  <c r="Q26" i="1"/>
  <c r="Q37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/>
  <c r="U41" i="9"/>
  <c r="F41" i="9"/>
  <c r="E41" i="9"/>
  <c r="E41" i="17"/>
  <c r="F25" i="17"/>
  <c r="J41" i="9"/>
  <c r="P41" i="9"/>
  <c r="O41" i="9"/>
  <c r="E41" i="14"/>
  <c r="F7" i="14"/>
  <c r="T41" i="9"/>
  <c r="K41" i="9"/>
  <c r="E41" i="18"/>
  <c r="F11" i="18"/>
  <c r="E41" i="16"/>
  <c r="F8" i="16"/>
  <c r="E41" i="20"/>
  <c r="F7" i="20"/>
  <c r="E41" i="15"/>
  <c r="F12" i="15"/>
  <c r="E17" i="21"/>
  <c r="E25" i="21"/>
  <c r="D17" i="1"/>
  <c r="D19" i="1"/>
  <c r="E41" i="21"/>
  <c r="D13" i="1"/>
  <c r="E34" i="21"/>
  <c r="F34" i="21"/>
  <c r="E18" i="21"/>
  <c r="D16" i="1"/>
  <c r="E38" i="21"/>
  <c r="D14" i="1"/>
  <c r="E19" i="21"/>
  <c r="D15" i="1"/>
  <c r="E31" i="21"/>
  <c r="D18" i="1"/>
  <c r="E28" i="21"/>
  <c r="D39" i="1"/>
  <c r="E36" i="21"/>
  <c r="D33" i="1"/>
  <c r="E8" i="21"/>
  <c r="D36" i="1"/>
  <c r="E33" i="21"/>
  <c r="D34" i="1"/>
  <c r="E42" i="21"/>
  <c r="D37" i="1"/>
  <c r="E23" i="21"/>
  <c r="D35" i="1"/>
  <c r="E16" i="21"/>
  <c r="D38" i="1"/>
  <c r="E9" i="21"/>
  <c r="D44" i="1"/>
  <c r="E32" i="21"/>
  <c r="D46" i="1"/>
  <c r="E40" i="21"/>
  <c r="D45" i="1"/>
  <c r="E26" i="21"/>
  <c r="D43" i="1"/>
  <c r="E30" i="21"/>
  <c r="D42" i="1"/>
  <c r="E21" i="21"/>
  <c r="D41" i="1"/>
  <c r="E15" i="21"/>
  <c r="D40" i="1"/>
  <c r="E10" i="21"/>
  <c r="D28" i="1"/>
  <c r="E11" i="21"/>
  <c r="D30" i="1"/>
  <c r="E39" i="21"/>
  <c r="F39" i="21"/>
  <c r="E20" i="21"/>
  <c r="D23" i="1"/>
  <c r="E14" i="21"/>
  <c r="D21" i="1"/>
  <c r="E24" i="21"/>
  <c r="D32" i="1"/>
  <c r="E29" i="21"/>
  <c r="D27" i="1"/>
  <c r="E37" i="21"/>
  <c r="D25" i="1"/>
  <c r="E12" i="21"/>
  <c r="D31" i="1"/>
  <c r="E13" i="21"/>
  <c r="D20" i="1"/>
  <c r="E22" i="21"/>
  <c r="D22" i="1"/>
  <c r="E27" i="21"/>
  <c r="D29" i="1"/>
  <c r="E35" i="21"/>
  <c r="D24" i="1"/>
  <c r="E41" i="19"/>
  <c r="F26" i="19"/>
  <c r="Q47" i="1"/>
  <c r="D41" i="4"/>
  <c r="C4" i="8"/>
  <c r="G9" i="8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/>
  <c r="Q20" i="9"/>
  <c r="R20" i="9"/>
  <c r="Q40" i="9"/>
  <c r="R40" i="9"/>
  <c r="Q28" i="9"/>
  <c r="R28" i="9"/>
  <c r="Q9" i="9"/>
  <c r="R9" i="9"/>
  <c r="Q30" i="9"/>
  <c r="R30" i="9"/>
  <c r="Q23" i="9"/>
  <c r="R23" i="9"/>
  <c r="Q26" i="9"/>
  <c r="R26" i="9"/>
  <c r="Q34" i="9"/>
  <c r="R34" i="9"/>
  <c r="Q19" i="9"/>
  <c r="R19" i="9"/>
  <c r="Q7" i="9"/>
  <c r="Q10" i="9"/>
  <c r="R10" i="9"/>
  <c r="Q8" i="9"/>
  <c r="R8" i="9"/>
  <c r="Q33" i="9"/>
  <c r="R33" i="9"/>
  <c r="Q14" i="9"/>
  <c r="R14" i="9"/>
  <c r="Q39" i="9"/>
  <c r="R39" i="9"/>
  <c r="Q13" i="9"/>
  <c r="R13" i="9"/>
  <c r="Q18" i="9"/>
  <c r="R18" i="9"/>
  <c r="Q31" i="9"/>
  <c r="R31" i="9"/>
  <c r="Q15" i="9"/>
  <c r="R15" i="9"/>
  <c r="Q36" i="9"/>
  <c r="R36" i="9"/>
  <c r="Q24" i="9"/>
  <c r="R24" i="9"/>
  <c r="Q22" i="9"/>
  <c r="R22" i="9"/>
  <c r="Q25" i="9"/>
  <c r="R25" i="9"/>
  <c r="Q21" i="9"/>
  <c r="R21" i="9"/>
  <c r="Q16" i="9"/>
  <c r="R16" i="9"/>
  <c r="Q32" i="9"/>
  <c r="R32" i="9"/>
  <c r="Q12" i="9"/>
  <c r="R12" i="9"/>
  <c r="Q27" i="9"/>
  <c r="R27" i="9"/>
  <c r="Q35" i="9"/>
  <c r="R35" i="9"/>
  <c r="Q17" i="9"/>
  <c r="R17" i="9"/>
  <c r="Q37" i="9"/>
  <c r="R37" i="9"/>
  <c r="Q29" i="9"/>
  <c r="R29" i="9"/>
  <c r="Q38" i="9"/>
  <c r="R38" i="9"/>
  <c r="L10" i="9"/>
  <c r="M10" i="9"/>
  <c r="L23" i="9"/>
  <c r="M23" i="9"/>
  <c r="L35" i="9"/>
  <c r="M35" i="9"/>
  <c r="L14" i="9"/>
  <c r="M14" i="9"/>
  <c r="L32" i="9"/>
  <c r="M32" i="9"/>
  <c r="L26" i="9"/>
  <c r="M26" i="9"/>
  <c r="L33" i="9"/>
  <c r="M33" i="9"/>
  <c r="L13" i="9"/>
  <c r="M13" i="9"/>
  <c r="L25" i="9"/>
  <c r="M25" i="9"/>
  <c r="L34" i="9"/>
  <c r="M34" i="9"/>
  <c r="L39" i="9"/>
  <c r="M39" i="9"/>
  <c r="L11" i="9"/>
  <c r="M11" i="9"/>
  <c r="L27" i="9"/>
  <c r="M27" i="9"/>
  <c r="L19" i="9"/>
  <c r="M19" i="9"/>
  <c r="L9" i="9"/>
  <c r="M9" i="9"/>
  <c r="L24" i="9"/>
  <c r="M24" i="9"/>
  <c r="L7" i="9"/>
  <c r="L28" i="9"/>
  <c r="M28" i="9"/>
  <c r="L29" i="9"/>
  <c r="M29" i="9"/>
  <c r="L8" i="9"/>
  <c r="M8" i="9"/>
  <c r="L30" i="9"/>
  <c r="M30" i="9"/>
  <c r="L18" i="9"/>
  <c r="M18" i="9"/>
  <c r="L15" i="9"/>
  <c r="M15" i="9"/>
  <c r="L16" i="9"/>
  <c r="M16" i="9"/>
  <c r="L20" i="9"/>
  <c r="M20" i="9"/>
  <c r="L38" i="9"/>
  <c r="M38" i="9"/>
  <c r="L21" i="9"/>
  <c r="M21" i="9"/>
  <c r="L31" i="9"/>
  <c r="M31" i="9"/>
  <c r="L12" i="9"/>
  <c r="M12" i="9"/>
  <c r="L17" i="9"/>
  <c r="M17" i="9"/>
  <c r="L22" i="9"/>
  <c r="M22" i="9"/>
  <c r="L36" i="9"/>
  <c r="M36" i="9"/>
  <c r="L37" i="9"/>
  <c r="M37" i="9"/>
  <c r="L40" i="9"/>
  <c r="M40" i="9"/>
  <c r="F40" i="17"/>
  <c r="F30" i="17"/>
  <c r="F16" i="17"/>
  <c r="F19" i="17"/>
  <c r="F33" i="17"/>
  <c r="G23" i="9"/>
  <c r="H23" i="9"/>
  <c r="G36" i="9"/>
  <c r="H36" i="9"/>
  <c r="G33" i="9"/>
  <c r="H33" i="9"/>
  <c r="G8" i="9"/>
  <c r="H8" i="9"/>
  <c r="G18" i="9"/>
  <c r="H18" i="9"/>
  <c r="G15" i="9"/>
  <c r="H15" i="9"/>
  <c r="G24" i="9"/>
  <c r="H24" i="9"/>
  <c r="G35" i="9"/>
  <c r="H35" i="9"/>
  <c r="G39" i="9"/>
  <c r="H39" i="9"/>
  <c r="G20" i="9"/>
  <c r="H20" i="9"/>
  <c r="G9" i="9"/>
  <c r="H9" i="9"/>
  <c r="G25" i="9"/>
  <c r="H25" i="9"/>
  <c r="G37" i="9"/>
  <c r="H37" i="9"/>
  <c r="G16" i="9"/>
  <c r="H16" i="9"/>
  <c r="G26" i="9"/>
  <c r="H26" i="9"/>
  <c r="G29" i="9"/>
  <c r="H29" i="9"/>
  <c r="G32" i="9"/>
  <c r="H32" i="9"/>
  <c r="G7" i="9"/>
  <c r="G40" i="9"/>
  <c r="H40" i="9"/>
  <c r="G31" i="9"/>
  <c r="H31" i="9"/>
  <c r="G22" i="9"/>
  <c r="H22" i="9"/>
  <c r="G21" i="9"/>
  <c r="H21" i="9"/>
  <c r="G34" i="9"/>
  <c r="H34" i="9"/>
  <c r="G13" i="9"/>
  <c r="H13" i="9"/>
  <c r="G10" i="9"/>
  <c r="H10" i="9"/>
  <c r="G19" i="9"/>
  <c r="H19" i="9"/>
  <c r="G30" i="9"/>
  <c r="H30" i="9"/>
  <c r="G28" i="9"/>
  <c r="H28" i="9"/>
  <c r="G12" i="9"/>
  <c r="H12" i="9"/>
  <c r="G14" i="9"/>
  <c r="H14" i="9"/>
  <c r="G27" i="9"/>
  <c r="H27" i="9"/>
  <c r="G38" i="9"/>
  <c r="H38" i="9"/>
  <c r="G11" i="9"/>
  <c r="H11" i="9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/>
  <c r="V27" i="9"/>
  <c r="W27" i="9"/>
  <c r="V15" i="9"/>
  <c r="W15" i="9"/>
  <c r="V9" i="9"/>
  <c r="W9" i="9"/>
  <c r="V20" i="9"/>
  <c r="W20" i="9"/>
  <c r="V36" i="9"/>
  <c r="W36" i="9"/>
  <c r="V39" i="9"/>
  <c r="W39" i="9"/>
  <c r="V35" i="9"/>
  <c r="W35" i="9"/>
  <c r="V40" i="9"/>
  <c r="W40" i="9"/>
  <c r="V23" i="9"/>
  <c r="W23" i="9"/>
  <c r="V21" i="9"/>
  <c r="W21" i="9"/>
  <c r="V30" i="9"/>
  <c r="W30" i="9"/>
  <c r="V13" i="9"/>
  <c r="W13" i="9"/>
  <c r="V18" i="9"/>
  <c r="W18" i="9"/>
  <c r="V11" i="9"/>
  <c r="W11" i="9"/>
  <c r="V8" i="9"/>
  <c r="W8" i="9"/>
  <c r="V10" i="9"/>
  <c r="W10" i="9"/>
  <c r="V19" i="9"/>
  <c r="W19" i="9"/>
  <c r="V14" i="9"/>
  <c r="W14" i="9"/>
  <c r="V24" i="9"/>
  <c r="W24" i="9"/>
  <c r="V32" i="9"/>
  <c r="W32" i="9"/>
  <c r="V12" i="9"/>
  <c r="W12" i="9"/>
  <c r="V26" i="9"/>
  <c r="W26" i="9"/>
  <c r="V22" i="9"/>
  <c r="W22" i="9"/>
  <c r="V7" i="9"/>
  <c r="V28" i="9"/>
  <c r="W28" i="9"/>
  <c r="V16" i="9"/>
  <c r="W16" i="9"/>
  <c r="V34" i="9"/>
  <c r="W34" i="9"/>
  <c r="V17" i="9"/>
  <c r="W17" i="9"/>
  <c r="V38" i="9"/>
  <c r="W38" i="9"/>
  <c r="V31" i="9"/>
  <c r="W31" i="9"/>
  <c r="V25" i="9"/>
  <c r="W25" i="9"/>
  <c r="V29" i="9"/>
  <c r="W29" i="9"/>
  <c r="V33" i="9"/>
  <c r="W33" i="9"/>
  <c r="G17" i="9"/>
  <c r="H17" i="9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E45" i="21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/>
  <c r="C4" i="18"/>
  <c r="G11" i="18"/>
  <c r="C4" i="20"/>
  <c r="C4" i="19"/>
  <c r="C4" i="17"/>
  <c r="C4" i="16"/>
  <c r="C4" i="14"/>
  <c r="G7" i="14"/>
  <c r="G10" i="17"/>
  <c r="I41" i="8"/>
  <c r="X11" i="9"/>
  <c r="Y11" i="9"/>
  <c r="F41" i="14"/>
  <c r="X32" i="9"/>
  <c r="N38" i="1"/>
  <c r="X13" i="9"/>
  <c r="N19" i="1"/>
  <c r="G36" i="14"/>
  <c r="F31" i="1"/>
  <c r="X17" i="9"/>
  <c r="Y17" i="9"/>
  <c r="F41" i="17"/>
  <c r="X33" i="9"/>
  <c r="N39" i="1"/>
  <c r="X30" i="9"/>
  <c r="Y30" i="9"/>
  <c r="X40" i="9"/>
  <c r="Y40" i="9"/>
  <c r="X9" i="9"/>
  <c r="Y9" i="9"/>
  <c r="F41" i="18"/>
  <c r="X20" i="9"/>
  <c r="Y20" i="9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/>
  <c r="V41" i="9"/>
  <c r="W7" i="9"/>
  <c r="W41" i="9"/>
  <c r="R7" i="9"/>
  <c r="R41" i="9"/>
  <c r="Q41" i="9"/>
  <c r="X29" i="9"/>
  <c r="X12" i="9"/>
  <c r="X22" i="9"/>
  <c r="X37" i="9"/>
  <c r="X18" i="9"/>
  <c r="X36" i="9"/>
  <c r="X23" i="9"/>
  <c r="M7" i="9"/>
  <c r="M41" i="9"/>
  <c r="L41" i="9"/>
  <c r="X28" i="9"/>
  <c r="X31" i="9"/>
  <c r="X25" i="9"/>
  <c r="X8" i="9"/>
  <c r="G41" i="8"/>
  <c r="J7" i="8"/>
  <c r="K7" i="8"/>
  <c r="G31" i="20"/>
  <c r="K32" i="1"/>
  <c r="F41" i="16"/>
  <c r="F41" i="20"/>
  <c r="F41" i="15"/>
  <c r="F45" i="21"/>
  <c r="D26" i="1"/>
  <c r="D47" i="1"/>
  <c r="G10" i="18"/>
  <c r="L16" i="1"/>
  <c r="G33" i="15"/>
  <c r="H33" i="15"/>
  <c r="G26" i="15"/>
  <c r="G30" i="1"/>
  <c r="G27" i="15"/>
  <c r="G24" i="1"/>
  <c r="G20" i="18"/>
  <c r="L39" i="1"/>
  <c r="G29" i="18"/>
  <c r="L44" i="1"/>
  <c r="G21" i="14"/>
  <c r="F27" i="1"/>
  <c r="G34" i="20"/>
  <c r="H34" i="20"/>
  <c r="G18" i="20"/>
  <c r="K19" i="1"/>
  <c r="G25" i="14"/>
  <c r="H25" i="14"/>
  <c r="G35" i="20"/>
  <c r="K17" i="1"/>
  <c r="G7" i="19"/>
  <c r="H7" i="19"/>
  <c r="G15" i="15"/>
  <c r="G44" i="1"/>
  <c r="G40" i="18"/>
  <c r="L18" i="1"/>
  <c r="G9" i="15"/>
  <c r="G17" i="1"/>
  <c r="G7" i="15"/>
  <c r="G40" i="1"/>
  <c r="G27" i="20"/>
  <c r="K41" i="1"/>
  <c r="G28" i="15"/>
  <c r="H28" i="15"/>
  <c r="G25" i="15"/>
  <c r="H25" i="15"/>
  <c r="G29" i="16"/>
  <c r="H29" i="16"/>
  <c r="G31" i="15"/>
  <c r="G32" i="1"/>
  <c r="G10" i="15"/>
  <c r="G45" i="1"/>
  <c r="G30" i="15"/>
  <c r="G29" i="1"/>
  <c r="G22" i="15"/>
  <c r="H22" i="15"/>
  <c r="G31" i="14"/>
  <c r="H31" i="14"/>
  <c r="G8" i="15"/>
  <c r="H8" i="15"/>
  <c r="G24" i="15"/>
  <c r="G37" i="1"/>
  <c r="G16" i="19"/>
  <c r="J40" i="1"/>
  <c r="G35" i="15"/>
  <c r="H35" i="15"/>
  <c r="G39" i="15"/>
  <c r="G27" i="1"/>
  <c r="G18" i="15"/>
  <c r="H18" i="15"/>
  <c r="G25" i="20"/>
  <c r="K29" i="1"/>
  <c r="G36" i="15"/>
  <c r="H36" i="15"/>
  <c r="G29" i="15"/>
  <c r="G23" i="1"/>
  <c r="G34" i="15"/>
  <c r="H34" i="15"/>
  <c r="G39" i="14"/>
  <c r="H39" i="14"/>
  <c r="G38" i="14"/>
  <c r="F22" i="1"/>
  <c r="G40" i="14"/>
  <c r="F21" i="1"/>
  <c r="G10" i="14"/>
  <c r="H10" i="14"/>
  <c r="G11" i="14"/>
  <c r="H11" i="14"/>
  <c r="G29" i="14"/>
  <c r="H29" i="14"/>
  <c r="G35" i="14"/>
  <c r="F32" i="1"/>
  <c r="G28" i="14"/>
  <c r="F24" i="1"/>
  <c r="G7" i="17"/>
  <c r="I44" i="1"/>
  <c r="G19" i="20"/>
  <c r="K30" i="1"/>
  <c r="G22" i="14"/>
  <c r="F39" i="1"/>
  <c r="G14" i="14"/>
  <c r="H14" i="14"/>
  <c r="G17" i="17"/>
  <c r="I26" i="1"/>
  <c r="G28" i="20"/>
  <c r="K31" i="1"/>
  <c r="G17" i="18"/>
  <c r="L31" i="1"/>
  <c r="G30" i="14"/>
  <c r="H30" i="14"/>
  <c r="G27" i="14"/>
  <c r="H27" i="14"/>
  <c r="G17" i="14"/>
  <c r="F42" i="1"/>
  <c r="G12" i="14"/>
  <c r="F40" i="1"/>
  <c r="F41" i="19"/>
  <c r="G26" i="14"/>
  <c r="F30" i="1"/>
  <c r="G20" i="14"/>
  <c r="F25" i="1"/>
  <c r="G13" i="14"/>
  <c r="F37" i="1"/>
  <c r="G18" i="14"/>
  <c r="H18" i="14"/>
  <c r="G29" i="17"/>
  <c r="I29" i="1"/>
  <c r="G29" i="20"/>
  <c r="H29" i="20"/>
  <c r="G21" i="18"/>
  <c r="H21" i="18"/>
  <c r="E16" i="4"/>
  <c r="F16" i="4"/>
  <c r="E37" i="4"/>
  <c r="F37" i="4"/>
  <c r="E19" i="4"/>
  <c r="E42" i="1"/>
  <c r="E29" i="4"/>
  <c r="E37" i="1"/>
  <c r="E22" i="4"/>
  <c r="F22" i="4"/>
  <c r="E20" i="4"/>
  <c r="F20" i="4"/>
  <c r="E24" i="4"/>
  <c r="F24" i="4"/>
  <c r="E8" i="4"/>
  <c r="F8" i="4"/>
  <c r="E32" i="4"/>
  <c r="E31" i="1"/>
  <c r="E14" i="4"/>
  <c r="E43" i="1"/>
  <c r="E30" i="4"/>
  <c r="E28" i="1"/>
  <c r="E9" i="4"/>
  <c r="F9" i="4"/>
  <c r="E26" i="4"/>
  <c r="E44" i="1"/>
  <c r="E40" i="4"/>
  <c r="E13" i="1"/>
  <c r="E27" i="4"/>
  <c r="F27" i="4"/>
  <c r="E23" i="4"/>
  <c r="E34" i="1"/>
  <c r="E17" i="4"/>
  <c r="E39" i="1"/>
  <c r="E13" i="4"/>
  <c r="E32" i="1"/>
  <c r="E39" i="4"/>
  <c r="F39" i="4"/>
  <c r="E10" i="4"/>
  <c r="E41" i="1"/>
  <c r="E31" i="4"/>
  <c r="E30" i="1"/>
  <c r="E28" i="4"/>
  <c r="E45" i="1"/>
  <c r="E38" i="4"/>
  <c r="E17" i="1"/>
  <c r="E25" i="4"/>
  <c r="F25" i="4"/>
  <c r="E21" i="4"/>
  <c r="F21" i="4"/>
  <c r="E11" i="4"/>
  <c r="E22" i="1"/>
  <c r="E33" i="4"/>
  <c r="E20" i="1"/>
  <c r="E12" i="4"/>
  <c r="F12" i="4"/>
  <c r="E34" i="4"/>
  <c r="F34" i="4"/>
  <c r="E18" i="4"/>
  <c r="E27" i="1"/>
  <c r="E7" i="4"/>
  <c r="E36" i="4"/>
  <c r="E16" i="1"/>
  <c r="E35" i="4"/>
  <c r="E40" i="1"/>
  <c r="E15" i="4"/>
  <c r="E36" i="1"/>
  <c r="G32" i="20"/>
  <c r="K20" i="1"/>
  <c r="G40" i="19"/>
  <c r="J13" i="1"/>
  <c r="G24" i="20"/>
  <c r="H24" i="20"/>
  <c r="G38" i="20"/>
  <c r="K23" i="1"/>
  <c r="G12" i="20"/>
  <c r="H12" i="20"/>
  <c r="G23" i="20"/>
  <c r="H23" i="20"/>
  <c r="G19" i="18"/>
  <c r="L40" i="1"/>
  <c r="G13" i="20"/>
  <c r="H13" i="20"/>
  <c r="G20" i="20"/>
  <c r="H20" i="20"/>
  <c r="G14" i="20"/>
  <c r="K43" i="1"/>
  <c r="G30" i="20"/>
  <c r="K37" i="1"/>
  <c r="G32" i="15"/>
  <c r="G31" i="1"/>
  <c r="G14" i="15"/>
  <c r="G34" i="1"/>
  <c r="G37" i="15"/>
  <c r="H37" i="15"/>
  <c r="G31" i="18"/>
  <c r="L22" i="1"/>
  <c r="G28" i="18"/>
  <c r="L36" i="1"/>
  <c r="G9" i="19"/>
  <c r="J42" i="1"/>
  <c r="G26" i="20"/>
  <c r="H26" i="20"/>
  <c r="G10" i="20"/>
  <c r="K40" i="1"/>
  <c r="G37" i="20"/>
  <c r="H37" i="20"/>
  <c r="G40" i="20"/>
  <c r="H40" i="20"/>
  <c r="G23" i="18"/>
  <c r="H23" i="18"/>
  <c r="G17" i="20"/>
  <c r="K46" i="1"/>
  <c r="G36" i="20"/>
  <c r="H36" i="20"/>
  <c r="G15" i="20"/>
  <c r="K34" i="1"/>
  <c r="G21" i="20"/>
  <c r="K21" i="1"/>
  <c r="G32" i="19"/>
  <c r="J20" i="1"/>
  <c r="G23" i="15"/>
  <c r="G22" i="1"/>
  <c r="G21" i="15"/>
  <c r="G41" i="1"/>
  <c r="G16" i="15"/>
  <c r="G28" i="1"/>
  <c r="G38" i="15"/>
  <c r="G15" i="1"/>
  <c r="G9" i="18"/>
  <c r="L14" i="1"/>
  <c r="G12" i="18"/>
  <c r="L38" i="1"/>
  <c r="G22" i="20"/>
  <c r="K39" i="1"/>
  <c r="G16" i="20"/>
  <c r="K45" i="1"/>
  <c r="G8" i="20"/>
  <c r="H8" i="20"/>
  <c r="G39" i="20"/>
  <c r="H39" i="20"/>
  <c r="G33" i="20"/>
  <c r="H33" i="20"/>
  <c r="G34" i="19"/>
  <c r="H34" i="19"/>
  <c r="G35" i="18"/>
  <c r="L27" i="1"/>
  <c r="G27" i="18"/>
  <c r="H27" i="18"/>
  <c r="G11" i="20"/>
  <c r="K25" i="1"/>
  <c r="G7" i="20"/>
  <c r="H7" i="20"/>
  <c r="G9" i="20"/>
  <c r="H9" i="20"/>
  <c r="G20" i="19"/>
  <c r="H20" i="19"/>
  <c r="G40" i="15"/>
  <c r="G13" i="1"/>
  <c r="G19" i="15"/>
  <c r="G46" i="1"/>
  <c r="G17" i="15"/>
  <c r="G26" i="1"/>
  <c r="G11" i="15"/>
  <c r="H11" i="15"/>
  <c r="G37" i="18"/>
  <c r="H37" i="18"/>
  <c r="G22" i="18"/>
  <c r="L17" i="1"/>
  <c r="G16" i="16"/>
  <c r="H35" i="1"/>
  <c r="G37" i="16"/>
  <c r="H23" i="1"/>
  <c r="G24" i="17"/>
  <c r="I16" i="1"/>
  <c r="G27" i="16"/>
  <c r="H41" i="1"/>
  <c r="G38" i="19"/>
  <c r="H38" i="19"/>
  <c r="G20" i="17"/>
  <c r="H20" i="17"/>
  <c r="G35" i="19"/>
  <c r="H35" i="19"/>
  <c r="G13" i="15"/>
  <c r="G40" i="17"/>
  <c r="H40" i="17"/>
  <c r="G38" i="17"/>
  <c r="I17" i="1"/>
  <c r="G18" i="19"/>
  <c r="J39" i="1"/>
  <c r="G28" i="17"/>
  <c r="I33" i="1"/>
  <c r="G23" i="19"/>
  <c r="H23" i="19"/>
  <c r="G20" i="15"/>
  <c r="H20" i="15"/>
  <c r="G8" i="16"/>
  <c r="H8" i="16"/>
  <c r="G36" i="17"/>
  <c r="G22" i="17"/>
  <c r="H22" i="17"/>
  <c r="G25" i="17"/>
  <c r="I38" i="1"/>
  <c r="G15" i="17"/>
  <c r="H15" i="17"/>
  <c r="G18" i="17"/>
  <c r="I18" i="1"/>
  <c r="G33" i="16"/>
  <c r="H46" i="1"/>
  <c r="G11" i="16"/>
  <c r="H11" i="16"/>
  <c r="G7" i="16"/>
  <c r="H7" i="16"/>
  <c r="G34" i="16"/>
  <c r="H45" i="1"/>
  <c r="G32" i="17"/>
  <c r="H32" i="17"/>
  <c r="G16" i="17"/>
  <c r="H16" i="17"/>
  <c r="G9" i="17"/>
  <c r="I40" i="1"/>
  <c r="G23" i="17"/>
  <c r="I15" i="1"/>
  <c r="G39" i="17"/>
  <c r="I35" i="1"/>
  <c r="G30" i="16"/>
  <c r="H34" i="1"/>
  <c r="G20" i="16"/>
  <c r="H20" i="16"/>
  <c r="G25" i="16"/>
  <c r="H43" i="1"/>
  <c r="G12" i="16"/>
  <c r="H30" i="1"/>
  <c r="G31" i="19"/>
  <c r="J18" i="1"/>
  <c r="G25" i="19"/>
  <c r="H25" i="19"/>
  <c r="G33" i="19"/>
  <c r="H33" i="19"/>
  <c r="G30" i="18"/>
  <c r="L34" i="1"/>
  <c r="G34" i="18"/>
  <c r="H34" i="18"/>
  <c r="G8" i="18"/>
  <c r="L20" i="1"/>
  <c r="G13" i="18"/>
  <c r="L21" i="1"/>
  <c r="G22" i="16"/>
  <c r="H22" i="16"/>
  <c r="G40" i="16"/>
  <c r="H40" i="16"/>
  <c r="G12" i="17"/>
  <c r="I23" i="1"/>
  <c r="G31" i="17"/>
  <c r="H31" i="17"/>
  <c r="G18" i="16"/>
  <c r="H15" i="1"/>
  <c r="G17" i="16"/>
  <c r="H17" i="16"/>
  <c r="G26" i="17"/>
  <c r="I41" i="1"/>
  <c r="G27" i="17"/>
  <c r="I42" i="1"/>
  <c r="G13" i="17"/>
  <c r="I37" i="1"/>
  <c r="G35" i="17"/>
  <c r="H35" i="17"/>
  <c r="G9" i="16"/>
  <c r="H16" i="1"/>
  <c r="G31" i="16"/>
  <c r="H31" i="16"/>
  <c r="G35" i="16"/>
  <c r="H33" i="1"/>
  <c r="G32" i="16"/>
  <c r="H32" i="16"/>
  <c r="G39" i="16"/>
  <c r="H18" i="1"/>
  <c r="G30" i="19"/>
  <c r="J35" i="1"/>
  <c r="G22" i="19"/>
  <c r="J21" i="1"/>
  <c r="G14" i="19"/>
  <c r="J41" i="1"/>
  <c r="G18" i="18"/>
  <c r="L15" i="1"/>
  <c r="G15" i="18"/>
  <c r="L30" i="1"/>
  <c r="G36" i="18"/>
  <c r="H36" i="18"/>
  <c r="G14" i="18"/>
  <c r="L35" i="1"/>
  <c r="G8" i="17"/>
  <c r="I45" i="1"/>
  <c r="G33" i="17"/>
  <c r="I22" i="1"/>
  <c r="G19" i="17"/>
  <c r="I24" i="1"/>
  <c r="G34" i="17"/>
  <c r="H34" i="17"/>
  <c r="G28" i="16"/>
  <c r="H28" i="16"/>
  <c r="G10" i="16"/>
  <c r="H19" i="1"/>
  <c r="G21" i="16"/>
  <c r="H21" i="16"/>
  <c r="G36" i="16"/>
  <c r="H42" i="1"/>
  <c r="G21" i="19"/>
  <c r="J31" i="1"/>
  <c r="G19" i="19"/>
  <c r="H19" i="19"/>
  <c r="G28" i="19"/>
  <c r="H28" i="19"/>
  <c r="G7" i="18"/>
  <c r="H7" i="18"/>
  <c r="G16" i="18"/>
  <c r="L25" i="1"/>
  <c r="G26" i="18"/>
  <c r="L29" i="1"/>
  <c r="G24" i="18"/>
  <c r="H24" i="18"/>
  <c r="G33" i="18"/>
  <c r="L26" i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/>
  <c r="G21" i="17"/>
  <c r="I21" i="1"/>
  <c r="G37" i="17"/>
  <c r="I25" i="1"/>
  <c r="G19" i="16"/>
  <c r="H28" i="1"/>
  <c r="G13" i="16"/>
  <c r="H38" i="1"/>
  <c r="G24" i="16"/>
  <c r="H44" i="1"/>
  <c r="G30" i="17"/>
  <c r="H30" i="17"/>
  <c r="G14" i="17"/>
  <c r="I46" i="1"/>
  <c r="G11" i="17"/>
  <c r="I34" i="1"/>
  <c r="G38" i="16"/>
  <c r="H38" i="16"/>
  <c r="G14" i="16"/>
  <c r="H20" i="1"/>
  <c r="G15" i="16"/>
  <c r="H40" i="1"/>
  <c r="G15" i="19"/>
  <c r="J37" i="1"/>
  <c r="G17" i="19"/>
  <c r="J33" i="1"/>
  <c r="G13" i="19"/>
  <c r="J34" i="1"/>
  <c r="G32" i="18"/>
  <c r="H32" i="18"/>
  <c r="G38" i="18"/>
  <c r="L42" i="1"/>
  <c r="G39" i="18"/>
  <c r="H39" i="18"/>
  <c r="G25" i="18"/>
  <c r="L32" i="1"/>
  <c r="G15" i="14"/>
  <c r="F18" i="1"/>
  <c r="G34" i="14"/>
  <c r="H34" i="14"/>
  <c r="G23" i="14"/>
  <c r="H23" i="14"/>
  <c r="G37" i="14"/>
  <c r="F29" i="1"/>
  <c r="G27" i="19"/>
  <c r="H27" i="19"/>
  <c r="G29" i="19"/>
  <c r="J15" i="1"/>
  <c r="G24" i="19"/>
  <c r="H24" i="19"/>
  <c r="G39" i="19"/>
  <c r="H39" i="19"/>
  <c r="G24" i="14"/>
  <c r="H24" i="14"/>
  <c r="G33" i="14"/>
  <c r="H33" i="14"/>
  <c r="G9" i="14"/>
  <c r="H9" i="14"/>
  <c r="G19" i="14"/>
  <c r="F43" i="1"/>
  <c r="G26" i="19"/>
  <c r="J26" i="1"/>
  <c r="G12" i="19"/>
  <c r="H12" i="19"/>
  <c r="G37" i="19"/>
  <c r="J24" i="1"/>
  <c r="G36" i="19"/>
  <c r="J17" i="1"/>
  <c r="G8" i="14"/>
  <c r="F45" i="1"/>
  <c r="H7" i="14"/>
  <c r="G16" i="14"/>
  <c r="H16" i="14"/>
  <c r="G32" i="14"/>
  <c r="F28" i="1"/>
  <c r="G11" i="19"/>
  <c r="H11" i="19"/>
  <c r="G8" i="19"/>
  <c r="H8" i="19"/>
  <c r="G10" i="19"/>
  <c r="J43" i="1"/>
  <c r="I30" i="1"/>
  <c r="H10" i="17"/>
  <c r="G36" i="1"/>
  <c r="H12" i="15"/>
  <c r="L19" i="1"/>
  <c r="H11" i="18"/>
  <c r="N23" i="1"/>
  <c r="H36" i="14"/>
  <c r="N26" i="1"/>
  <c r="N15" i="1"/>
  <c r="N17" i="1"/>
  <c r="H29" i="1"/>
  <c r="Y32" i="9"/>
  <c r="Y33" i="9"/>
  <c r="Y13" i="9"/>
  <c r="N36" i="1"/>
  <c r="H31" i="20"/>
  <c r="N46" i="1"/>
  <c r="Y26" i="9"/>
  <c r="N32" i="1"/>
  <c r="N25" i="1"/>
  <c r="Y19" i="9"/>
  <c r="Y18" i="9"/>
  <c r="N24" i="1"/>
  <c r="Y27" i="9"/>
  <c r="N34" i="1"/>
  <c r="N43" i="1"/>
  <c r="Y37" i="9"/>
  <c r="Y15" i="9"/>
  <c r="N22" i="1"/>
  <c r="Y8" i="9"/>
  <c r="N14" i="1"/>
  <c r="Y23" i="9"/>
  <c r="N29" i="1"/>
  <c r="Y22" i="9"/>
  <c r="N28" i="1"/>
  <c r="Y16" i="9"/>
  <c r="N21" i="1"/>
  <c r="Y38" i="9"/>
  <c r="N44" i="1"/>
  <c r="N31" i="1"/>
  <c r="Y25" i="9"/>
  <c r="N18" i="1"/>
  <c r="Y12" i="9"/>
  <c r="N27" i="1"/>
  <c r="Y21" i="9"/>
  <c r="N45" i="1"/>
  <c r="Y39" i="9"/>
  <c r="X7" i="9"/>
  <c r="N13" i="1"/>
  <c r="H41" i="9"/>
  <c r="J39" i="8"/>
  <c r="K39" i="8"/>
  <c r="J15" i="8"/>
  <c r="K15" i="8"/>
  <c r="J23" i="8"/>
  <c r="K23" i="8"/>
  <c r="J38" i="8"/>
  <c r="K38" i="8"/>
  <c r="J26" i="8"/>
  <c r="K26" i="8"/>
  <c r="J19" i="8"/>
  <c r="K19" i="8"/>
  <c r="J8" i="8"/>
  <c r="K8" i="8"/>
  <c r="J16" i="8"/>
  <c r="K16" i="8"/>
  <c r="J9" i="8"/>
  <c r="K9" i="8"/>
  <c r="J28" i="8"/>
  <c r="K28" i="8"/>
  <c r="J34" i="8"/>
  <c r="K34" i="8"/>
  <c r="J40" i="8"/>
  <c r="K40" i="8"/>
  <c r="J27" i="8"/>
  <c r="K27" i="8"/>
  <c r="J35" i="8"/>
  <c r="K35" i="8"/>
  <c r="J32" i="8"/>
  <c r="K32" i="8"/>
  <c r="J25" i="8"/>
  <c r="K25" i="8"/>
  <c r="J20" i="8"/>
  <c r="K20" i="8"/>
  <c r="J24" i="8"/>
  <c r="K24" i="8"/>
  <c r="J17" i="8"/>
  <c r="K17" i="8"/>
  <c r="J11" i="8"/>
  <c r="K11" i="8"/>
  <c r="J12" i="8"/>
  <c r="K12" i="8"/>
  <c r="J37" i="8"/>
  <c r="K37" i="8"/>
  <c r="J13" i="8"/>
  <c r="K13" i="8"/>
  <c r="J30" i="8"/>
  <c r="K30" i="8"/>
  <c r="J14" i="8"/>
  <c r="K14" i="8"/>
  <c r="J33" i="8"/>
  <c r="K33" i="8"/>
  <c r="J21" i="8"/>
  <c r="K21" i="8"/>
  <c r="J31" i="8"/>
  <c r="K31" i="8"/>
  <c r="J10" i="8"/>
  <c r="K10" i="8"/>
  <c r="J36" i="8"/>
  <c r="K36" i="8"/>
  <c r="J18" i="8"/>
  <c r="K18" i="8"/>
  <c r="J22" i="8"/>
  <c r="K22" i="8"/>
  <c r="J29" i="8"/>
  <c r="K29" i="8"/>
  <c r="Y31" i="9"/>
  <c r="N37" i="1"/>
  <c r="N35" i="1"/>
  <c r="Y29" i="9"/>
  <c r="Y14" i="9"/>
  <c r="N20" i="1"/>
  <c r="Y10" i="9"/>
  <c r="N16" i="1"/>
  <c r="N40" i="1"/>
  <c r="Y34" i="9"/>
  <c r="N41" i="1"/>
  <c r="Y35" i="9"/>
  <c r="N33" i="1"/>
  <c r="Y28" i="9"/>
  <c r="Y36" i="9"/>
  <c r="N42" i="1"/>
  <c r="Y24" i="9"/>
  <c r="N30" i="1"/>
  <c r="H20" i="18"/>
  <c r="H27" i="15"/>
  <c r="H26" i="15"/>
  <c r="H10" i="18"/>
  <c r="E41" i="4"/>
  <c r="F41" i="4"/>
  <c r="G33" i="1"/>
  <c r="H29" i="18"/>
  <c r="H40" i="14"/>
  <c r="K42" i="1"/>
  <c r="H17" i="14"/>
  <c r="J27" i="1"/>
  <c r="H7" i="15"/>
  <c r="I19" i="1"/>
  <c r="H18" i="20"/>
  <c r="L41" i="1"/>
  <c r="H9" i="19"/>
  <c r="G20" i="1"/>
  <c r="H7" i="17"/>
  <c r="F20" i="1"/>
  <c r="H15" i="19"/>
  <c r="H26" i="14"/>
  <c r="F19" i="1"/>
  <c r="G42" i="1"/>
  <c r="H28" i="20"/>
  <c r="H15" i="15"/>
  <c r="H35" i="20"/>
  <c r="H19" i="16"/>
  <c r="J46" i="1"/>
  <c r="H21" i="14"/>
  <c r="H37" i="1"/>
  <c r="H29" i="15"/>
  <c r="G19" i="1"/>
  <c r="H27" i="20"/>
  <c r="G16" i="1"/>
  <c r="H10" i="19"/>
  <c r="H15" i="20"/>
  <c r="G39" i="1"/>
  <c r="H17" i="15"/>
  <c r="H9" i="15"/>
  <c r="G41" i="18"/>
  <c r="H41" i="18"/>
  <c r="H28" i="18"/>
  <c r="F46" i="1"/>
  <c r="H11" i="20"/>
  <c r="H9" i="16"/>
  <c r="G38" i="1"/>
  <c r="K24" i="1"/>
  <c r="H24" i="15"/>
  <c r="I20" i="1"/>
  <c r="H24" i="1"/>
  <c r="H22" i="14"/>
  <c r="H17" i="19"/>
  <c r="H17" i="1"/>
  <c r="F28" i="4"/>
  <c r="H40" i="18"/>
  <c r="F15" i="1"/>
  <c r="K33" i="1"/>
  <c r="H11" i="17"/>
  <c r="F40" i="4"/>
  <c r="J19" i="1"/>
  <c r="G14" i="1"/>
  <c r="E18" i="1"/>
  <c r="H29" i="19"/>
  <c r="G35" i="1"/>
  <c r="H14" i="20"/>
  <c r="I27" i="1"/>
  <c r="H13" i="17"/>
  <c r="J45" i="1"/>
  <c r="H19" i="14"/>
  <c r="H37" i="14"/>
  <c r="H38" i="20"/>
  <c r="H22" i="19"/>
  <c r="H15" i="18"/>
  <c r="H15" i="14"/>
  <c r="H18" i="18"/>
  <c r="H31" i="19"/>
  <c r="L13" i="1"/>
  <c r="H28" i="17"/>
  <c r="H19" i="15"/>
  <c r="H31" i="15"/>
  <c r="H8" i="14"/>
  <c r="H19" i="17"/>
  <c r="L23" i="1"/>
  <c r="K27" i="1"/>
  <c r="H30" i="15"/>
  <c r="H32" i="1"/>
  <c r="H17" i="18"/>
  <c r="H27" i="16"/>
  <c r="G43" i="1"/>
  <c r="H10" i="15"/>
  <c r="L24" i="1"/>
  <c r="H37" i="16"/>
  <c r="I31" i="1"/>
  <c r="G21" i="1"/>
  <c r="F41" i="1"/>
  <c r="H38" i="18"/>
  <c r="K44" i="1"/>
  <c r="H16" i="19"/>
  <c r="E33" i="1"/>
  <c r="K28" i="1"/>
  <c r="H12" i="14"/>
  <c r="H23" i="15"/>
  <c r="H35" i="14"/>
  <c r="F26" i="1"/>
  <c r="H18" i="17"/>
  <c r="H13" i="14"/>
  <c r="H39" i="15"/>
  <c r="E25" i="1"/>
  <c r="H16" i="16"/>
  <c r="H23" i="17"/>
  <c r="J30" i="1"/>
  <c r="H30" i="20"/>
  <c r="E46" i="1"/>
  <c r="K18" i="1"/>
  <c r="F15" i="4"/>
  <c r="H35" i="18"/>
  <c r="I43" i="1"/>
  <c r="K22" i="1"/>
  <c r="H17" i="17"/>
  <c r="J23" i="1"/>
  <c r="H19" i="18"/>
  <c r="E23" i="1"/>
  <c r="H37" i="17"/>
  <c r="F16" i="1"/>
  <c r="H17" i="20"/>
  <c r="F14" i="1"/>
  <c r="K38" i="1"/>
  <c r="F18" i="4"/>
  <c r="H31" i="18"/>
  <c r="F35" i="4"/>
  <c r="E29" i="1"/>
  <c r="F17" i="4"/>
  <c r="F32" i="4"/>
  <c r="L43" i="1"/>
  <c r="J36" i="1"/>
  <c r="K14" i="1"/>
  <c r="H12" i="16"/>
  <c r="H33" i="16"/>
  <c r="H38" i="15"/>
  <c r="H16" i="15"/>
  <c r="G41" i="15"/>
  <c r="H41" i="15"/>
  <c r="E15" i="1"/>
  <c r="F44" i="1"/>
  <c r="F13" i="4"/>
  <c r="H15" i="16"/>
  <c r="H25" i="20"/>
  <c r="F35" i="1"/>
  <c r="H18" i="16"/>
  <c r="F29" i="4"/>
  <c r="H26" i="18"/>
  <c r="J28" i="1"/>
  <c r="I39" i="1"/>
  <c r="H9" i="18"/>
  <c r="H14" i="15"/>
  <c r="F17" i="1"/>
  <c r="H20" i="14"/>
  <c r="F33" i="4"/>
  <c r="K35" i="1"/>
  <c r="F30" i="4"/>
  <c r="H32" i="15"/>
  <c r="H21" i="17"/>
  <c r="F34" i="1"/>
  <c r="L28" i="1"/>
  <c r="H21" i="20"/>
  <c r="H25" i="17"/>
  <c r="K13" i="1"/>
  <c r="H38" i="17"/>
  <c r="H38" i="14"/>
  <c r="H12" i="18"/>
  <c r="H40" i="19"/>
  <c r="H29" i="17"/>
  <c r="H32" i="20"/>
  <c r="H27" i="1"/>
  <c r="F10" i="4"/>
  <c r="J16" i="1"/>
  <c r="H19" i="20"/>
  <c r="H28" i="14"/>
  <c r="I32" i="1"/>
  <c r="H22" i="18"/>
  <c r="E24" i="1"/>
  <c r="L46" i="1"/>
  <c r="L33" i="1"/>
  <c r="G41" i="20"/>
  <c r="H41" i="20"/>
  <c r="J29" i="1"/>
  <c r="H14" i="19"/>
  <c r="H22" i="1"/>
  <c r="E35" i="1"/>
  <c r="H10" i="20"/>
  <c r="I28" i="1"/>
  <c r="H22" i="20"/>
  <c r="H21" i="15"/>
  <c r="F19" i="4"/>
  <c r="F11" i="4"/>
  <c r="E14" i="1"/>
  <c r="E19" i="1"/>
  <c r="F14" i="4"/>
  <c r="F7" i="4"/>
  <c r="F36" i="4"/>
  <c r="F23" i="4"/>
  <c r="F38" i="4"/>
  <c r="F31" i="4"/>
  <c r="K36" i="1"/>
  <c r="H25" i="18"/>
  <c r="H16" i="18"/>
  <c r="H18" i="19"/>
  <c r="H40" i="15"/>
  <c r="H24" i="17"/>
  <c r="H16" i="20"/>
  <c r="E38" i="1"/>
  <c r="H32" i="19"/>
  <c r="H36" i="1"/>
  <c r="F26" i="4"/>
  <c r="L45" i="1"/>
  <c r="G41" i="16"/>
  <c r="H41" i="16"/>
  <c r="H32" i="14"/>
  <c r="K26" i="1"/>
  <c r="E26" i="1"/>
  <c r="J38" i="1"/>
  <c r="K16" i="1"/>
  <c r="K15" i="1"/>
  <c r="E21" i="1"/>
  <c r="G18" i="1"/>
  <c r="H30" i="18"/>
  <c r="J25" i="1"/>
  <c r="H8" i="17"/>
  <c r="H8" i="18"/>
  <c r="H39" i="16"/>
  <c r="H12" i="17"/>
  <c r="L37" i="1"/>
  <c r="H39" i="1"/>
  <c r="I14" i="1"/>
  <c r="J22" i="1"/>
  <c r="H14" i="16"/>
  <c r="H14" i="17"/>
  <c r="H13" i="15"/>
  <c r="H36" i="16"/>
  <c r="G41" i="17"/>
  <c r="H41" i="17"/>
  <c r="H25" i="16"/>
  <c r="H24" i="16"/>
  <c r="H33" i="18"/>
  <c r="I36" i="1"/>
  <c r="G25" i="1"/>
  <c r="H13" i="19"/>
  <c r="H9" i="17"/>
  <c r="H13" i="1"/>
  <c r="H21" i="19"/>
  <c r="H14" i="1"/>
  <c r="H27" i="17"/>
  <c r="H26" i="17"/>
  <c r="H25" i="1"/>
  <c r="F13" i="1"/>
  <c r="H21" i="1"/>
  <c r="H34" i="16"/>
  <c r="H36" i="17"/>
  <c r="H26" i="1"/>
  <c r="H30" i="16"/>
  <c r="I13" i="1"/>
  <c r="F36" i="1"/>
  <c r="J32" i="1"/>
  <c r="H31" i="1"/>
  <c r="H35" i="16"/>
  <c r="F23" i="1"/>
  <c r="H13" i="16"/>
  <c r="F33" i="1"/>
  <c r="H39" i="17"/>
  <c r="H14" i="18"/>
  <c r="H30" i="19"/>
  <c r="G41" i="14"/>
  <c r="H41" i="14"/>
  <c r="H10" i="16"/>
  <c r="H33" i="17"/>
  <c r="H13" i="18"/>
  <c r="F7" i="21"/>
  <c r="E43" i="21"/>
  <c r="H26" i="19"/>
  <c r="H36" i="19"/>
  <c r="H37" i="19"/>
  <c r="F38" i="1"/>
  <c r="G41" i="19"/>
  <c r="H41" i="19"/>
  <c r="J44" i="1"/>
  <c r="J14" i="1"/>
  <c r="L13" i="8"/>
  <c r="M19" i="1"/>
  <c r="O19" i="1"/>
  <c r="R19" i="1"/>
  <c r="M22" i="1"/>
  <c r="O22" i="1"/>
  <c r="R22" i="1"/>
  <c r="L16" i="8"/>
  <c r="L36" i="8"/>
  <c r="M42" i="1"/>
  <c r="O42" i="1"/>
  <c r="R42" i="1"/>
  <c r="L35" i="8"/>
  <c r="M41" i="1"/>
  <c r="O41" i="1"/>
  <c r="R41" i="1"/>
  <c r="L10" i="8"/>
  <c r="M16" i="1"/>
  <c r="O16" i="1"/>
  <c r="R16" i="1"/>
  <c r="L27" i="8"/>
  <c r="M33" i="1"/>
  <c r="O33" i="1"/>
  <c r="R33" i="1"/>
  <c r="L31" i="8"/>
  <c r="M37" i="1"/>
  <c r="O37" i="1"/>
  <c r="R37" i="1"/>
  <c r="M27" i="1"/>
  <c r="O27" i="1"/>
  <c r="R27" i="1"/>
  <c r="L21" i="8"/>
  <c r="M23" i="1"/>
  <c r="O23" i="1"/>
  <c r="R23" i="1"/>
  <c r="L17" i="8"/>
  <c r="L40" i="8"/>
  <c r="M46" i="1"/>
  <c r="O46" i="1"/>
  <c r="R46" i="1"/>
  <c r="M44" i="1"/>
  <c r="O44" i="1"/>
  <c r="R44" i="1"/>
  <c r="L38" i="8"/>
  <c r="M39" i="1"/>
  <c r="O39" i="1"/>
  <c r="R39" i="1"/>
  <c r="L33" i="8"/>
  <c r="L24" i="8"/>
  <c r="M30" i="1"/>
  <c r="O30" i="1"/>
  <c r="R30" i="1"/>
  <c r="L34" i="8"/>
  <c r="M40" i="1"/>
  <c r="O40" i="1"/>
  <c r="R40" i="1"/>
  <c r="M29" i="1"/>
  <c r="O29" i="1"/>
  <c r="R29" i="1"/>
  <c r="L23" i="8"/>
  <c r="L32" i="8"/>
  <c r="M38" i="1"/>
  <c r="O38" i="1"/>
  <c r="R38" i="1"/>
  <c r="M43" i="1"/>
  <c r="O43" i="1"/>
  <c r="R43" i="1"/>
  <c r="L37" i="8"/>
  <c r="L8" i="8"/>
  <c r="M14" i="1"/>
  <c r="O14" i="1"/>
  <c r="R14" i="1"/>
  <c r="X41" i="9"/>
  <c r="Y41" i="9"/>
  <c r="N47" i="1"/>
  <c r="Y7" i="9"/>
  <c r="L12" i="8"/>
  <c r="M18" i="1"/>
  <c r="O18" i="1"/>
  <c r="R18" i="1"/>
  <c r="M25" i="1"/>
  <c r="O25" i="1"/>
  <c r="R25" i="1"/>
  <c r="L19" i="8"/>
  <c r="M17" i="1"/>
  <c r="O17" i="1"/>
  <c r="R17" i="1"/>
  <c r="L11" i="8"/>
  <c r="M32" i="1"/>
  <c r="O32" i="1"/>
  <c r="R32" i="1"/>
  <c r="L26" i="8"/>
  <c r="M35" i="1"/>
  <c r="O35" i="1"/>
  <c r="R35" i="1"/>
  <c r="L29" i="8"/>
  <c r="L14" i="8"/>
  <c r="M20" i="1"/>
  <c r="O20" i="1"/>
  <c r="R20" i="1"/>
  <c r="L20" i="8"/>
  <c r="M26" i="1"/>
  <c r="O26" i="1"/>
  <c r="R26" i="1"/>
  <c r="L28" i="8"/>
  <c r="M34" i="1"/>
  <c r="O34" i="1"/>
  <c r="R34" i="1"/>
  <c r="L15" i="8"/>
  <c r="M21" i="1"/>
  <c r="O21" i="1"/>
  <c r="R21" i="1"/>
  <c r="M24" i="1"/>
  <c r="O24" i="1"/>
  <c r="R24" i="1"/>
  <c r="L18" i="8"/>
  <c r="J41" i="8"/>
  <c r="L22" i="8"/>
  <c r="M28" i="1"/>
  <c r="O28" i="1"/>
  <c r="R28" i="1"/>
  <c r="M36" i="1"/>
  <c r="O36" i="1"/>
  <c r="R36" i="1"/>
  <c r="L30" i="8"/>
  <c r="L25" i="8"/>
  <c r="M31" i="1"/>
  <c r="O31" i="1"/>
  <c r="R31" i="1"/>
  <c r="M15" i="1"/>
  <c r="O15" i="1"/>
  <c r="R15" i="1"/>
  <c r="L9" i="8"/>
  <c r="M45" i="1"/>
  <c r="O45" i="1"/>
  <c r="R45" i="1"/>
  <c r="L39" i="8"/>
  <c r="F43" i="21"/>
  <c r="E44" i="21"/>
  <c r="G47" i="1"/>
  <c r="E47" i="1"/>
  <c r="K47" i="1"/>
  <c r="L47" i="1"/>
  <c r="H47" i="1"/>
  <c r="I47" i="1"/>
  <c r="J47" i="1"/>
  <c r="F47" i="1"/>
  <c r="M13" i="1"/>
  <c r="K41" i="8"/>
  <c r="L41" i="8"/>
  <c r="L7" i="8"/>
  <c r="S43" i="1"/>
  <c r="S46" i="1"/>
  <c r="S32" i="1"/>
  <c r="S39" i="1"/>
  <c r="M47" i="1"/>
  <c r="O13" i="1"/>
  <c r="S19" i="1"/>
  <c r="R13" i="1"/>
  <c r="O47" i="1"/>
  <c r="P13" i="1"/>
  <c r="D5" i="13"/>
  <c r="P46" i="1"/>
  <c r="P33" i="1"/>
  <c r="P32" i="1"/>
  <c r="P14" i="1"/>
  <c r="P30" i="1"/>
  <c r="P24" i="1"/>
  <c r="P21" i="1"/>
  <c r="P43" i="1"/>
  <c r="P35" i="1"/>
  <c r="P38" i="1"/>
  <c r="P16" i="1"/>
  <c r="P28" i="1"/>
  <c r="P31" i="1"/>
  <c r="P41" i="1"/>
  <c r="P39" i="1"/>
  <c r="P44" i="1"/>
  <c r="P23" i="1"/>
  <c r="P40" i="1"/>
  <c r="P25" i="1"/>
  <c r="P18" i="1"/>
  <c r="P29" i="1"/>
  <c r="P27" i="1"/>
  <c r="P36" i="1"/>
  <c r="R47" i="1"/>
  <c r="P37" i="1"/>
  <c r="P26" i="1"/>
  <c r="P19" i="1"/>
  <c r="P45" i="1"/>
  <c r="P17" i="1"/>
  <c r="P34" i="1"/>
  <c r="P22" i="1"/>
  <c r="P15" i="1"/>
  <c r="S47" i="1"/>
  <c r="P20" i="1"/>
  <c r="P42" i="1"/>
  <c r="P47" i="1"/>
</calcChain>
</file>

<file path=xl/comments1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<sst xmlns="http://schemas.openxmlformats.org/spreadsheetml/2006/main" count="341" uniqueCount="148">
  <si>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</si>
  <si>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</si>
  <si>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</si>
  <si>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</si>
  <si>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</si>
  <si>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</si>
  <si>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</si>
  <si>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</si>
  <si>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</si>
  <si>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</si>
  <si>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</si>
  <si>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</si>
  <si>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</si>
  <si>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</si>
  <si>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</si>
  <si>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</si>
  <si>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</si>
  <si>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</si>
  <si>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</si>
  <si>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</si>
  <si>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</si>
  <si>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</si>
  <si>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</si>
  <si>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</si>
  <si>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</si>
  <si>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</si>
  <si>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</si>
  <si>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</si>
  <si>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</si>
  <si>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</si>
  <si>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</si>
  <si>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</si>
  <si>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</si>
  <si>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</si>
  <si>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</si>
  <si>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</si>
  <si>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</si>
  <si>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</si>
  <si>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</si>
  <si>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</si>
  <si>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</si>
  <si>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</si>
  <si>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</si>
  <si>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</si>
  <si>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</si>
  <si>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</si>
  <si>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</si>
  <si>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</si>
  <si>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</si>
  <si>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</si>
  <si>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r>
      <t xml:space="preserve">2 </t>
    </r>
    <r>
      <rPr>
        <sz val="11"/>
        <color theme="1"/>
        <rFont val="Calibri"/>
        <family val="2"/>
        <scheme val="minor"/>
      </rPr>
      <t>Source: Premature death: Leading causes of years of potential life lost before age 75. Oregon death certificate data, 2012-2016.</t>
    </r>
  </si>
  <si>
    <r>
      <t xml:space="preserve">3 </t>
    </r>
    <r>
      <rPr>
        <sz val="11"/>
        <color theme="1"/>
        <rFont val="Calibri"/>
        <family val="2"/>
        <scheme val="minor"/>
      </rPr>
      <t>Source: Quality of life: Good or excellent health, 2012-2015.</t>
    </r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</si>
  <si>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</si>
  <si>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</si>
  <si>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</si>
  <si>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</si>
  <si>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</si>
  <si>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</si>
  <si>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</si>
  <si>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</si>
  <si>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</si>
  <si>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</si>
  <si>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</si>
  <si>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</si>
  <si>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</si>
  <si>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</si>
  <si>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</si>
  <si>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</si>
  <si>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</si>
  <si>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</si>
  <si>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</si>
  <si>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</si>
  <si>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</si>
  <si>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</si>
  <si>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</si>
  <si>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</si>
  <si>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</si>
  <si>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</si>
  <si>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</si>
  <si>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</si>
  <si>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</si>
  <si>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</si>
  <si>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</si>
  <si>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</si>
  <si>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</si>
  <si>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</si>
  <si>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</si>
  <si>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</si>
  <si>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</si>
  <si>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</si>
  <si>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</si>
  <si>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</si>
  <si>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</si>
  <si>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</si>
  <si>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</si>
  <si>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</si>
  <si>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</si>
  <si>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</si>
  <si>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</si>
  <si>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</si>
  <si>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</si>
  <si>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</si>
  <si>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</si>
  <si>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</si>
  <si>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</si>
  <si>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</si>
  <si>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</si>
  <si>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</si>
  <si>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</si>
  <si>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</si>
  <si>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</si>
  <si>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</si>
  <si>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</si>
  <si>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</si>
  <si>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</si>
  <si>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</si>
  <si>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</si>
  <si>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</si>
  <si>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</si>
  <si>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</si>
  <si>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</si>
  <si>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</si>
  <si>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</si>
  <si>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5 </t>
    </r>
    <r>
      <rPr>
        <sz val="11"/>
        <color theme="1"/>
        <rFont val="Calibri"/>
        <family val="2"/>
        <scheme val="minor"/>
      </rPr>
      <t>Source: U.S. Census Bureau, Population estimates,2010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</si>
  <si>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</si>
  <si>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</si>
  <si>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</si>
  <si>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</si>
  <si>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</si>
  <si>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</si>
  <si>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</si>
  <si>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t>July, 2019</t>
  </si>
  <si>
    <t>2019-21 biennium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</si>
  <si>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</si>
  <si>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11"/>
        <color theme="1"/>
        <rFont val="Calibri"/>
        <family val="2"/>
      </rPr>
      <t xml:space="preserve"> Source: Portland State University Certified Population estimate July 1, 2018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</si>
  <si>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</si>
  <si>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</si>
  <si>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</si>
  <si>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</si>
  <si>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11"/>
        <color theme="1"/>
        <rFont val="Calibri"/>
        <family val="2"/>
        <scheme val="minor"/>
      </rPr>
      <t>Source: American Community Survey population 5-year estimate, 2013-2017.</t>
    </r>
  </si>
  <si>
    <r>
      <t xml:space="preserve">Public health modernization LPHA funding formula - </t>
    </r>
    <r>
      <rPr>
        <b/>
        <sz val="14"/>
        <color rgb="FFFF0000"/>
        <rFont val="Calibri"/>
        <family val="2"/>
        <scheme val="minor"/>
      </rPr>
      <t>FINAL</t>
    </r>
  </si>
  <si>
    <t>August, 2019</t>
  </si>
  <si>
    <t>check sum</t>
  </si>
  <si>
    <t>Floor Payments</t>
  </si>
  <si>
    <t xml:space="preserve">Total biennial funds available to LPHAs through the funding formula = </t>
  </si>
  <si>
    <t>Not used in this version</t>
  </si>
  <si>
    <t>Modifed for this version</t>
  </si>
  <si>
    <t>Added in this version to account for lower funding amounts (lowest floor payment allowed was 1.86 million in original version) - Also edited yellow cells on hidden Floor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</si>
</sst>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  <numFmt numFmtId="168" formatCode="&quot;$&quot;#,##0.0_);[Red]\(&quot;$&quot;#,##0.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1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6" fillId="0" borderId="0" xfId="0" applyFont="1" applyFill="1" applyAlignment="1"/>
    <xf numFmtId="0" fontId="0" fillId="0" borderId="0" xfId="0" quotePrefix="1"/>
    <xf numFmtId="0" fontId="6" fillId="0" borderId="0" xfId="0" applyFont="1" applyFill="1" applyAlignment="1">
      <alignment horizontal="left"/>
    </xf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43" fontId="0" fillId="13" borderId="0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0" fontId="0" fillId="11" borderId="0" xfId="0" applyFill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13" fillId="0" borderId="0" xfId="0" applyNumberFormat="1" applyFont="1"/>
    <xf numFmtId="6" fontId="3" fillId="11" borderId="25" xfId="0" applyNumberFormat="1" applyFont="1" applyFill="1" applyBorder="1"/>
    <xf numFmtId="168" fontId="0" fillId="0" borderId="0" xfId="0" applyNumberFormat="1"/>
    <xf numFmtId="0" fontId="0" fillId="0" borderId="0" xfId="0" applyFill="1" applyBorder="1"/>
    <xf numFmtId="165" fontId="0" fillId="3" borderId="27" xfId="2" applyNumberFormat="1" applyFont="1" applyFill="1" applyBorder="1"/>
    <xf numFmtId="165" fontId="0" fillId="0" borderId="0" xfId="2" applyNumberFormat="1" applyFont="1" applyFill="1" applyBorder="1"/>
    <xf numFmtId="165" fontId="0" fillId="3" borderId="26" xfId="2" applyNumberFormat="1" applyFont="1" applyFill="1" applyBorder="1"/>
    <xf numFmtId="165" fontId="0" fillId="3" borderId="28" xfId="2" applyNumberFormat="1" applyFont="1" applyFill="1" applyBorder="1"/>
    <xf numFmtId="6" fontId="0" fillId="11" borderId="0" xfId="0" applyNumberFormat="1" applyFill="1"/>
    <xf numFmtId="6" fontId="3" fillId="0" borderId="0" xfId="0" applyNumberFormat="1" applyFont="1" applyFill="1" applyBorder="1"/>
    <xf numFmtId="0" fontId="3" fillId="0" borderId="0" xfId="0" applyFont="1" applyFill="1" applyBorder="1"/>
    <xf numFmtId="10" fontId="3" fillId="16" borderId="0" xfId="3" applyNumberFormat="1" applyFont="1" applyFill="1"/>
    <xf numFmtId="10" fontId="0" fillId="16" borderId="0" xfId="3" applyNumberFormat="1" applyFont="1" applyFill="1"/>
    <xf numFmtId="6" fontId="0" fillId="0" borderId="0" xfId="0" applyNumberFormat="1" applyFill="1" applyAlignment="1">
      <alignment horizontal="center" wrapText="1"/>
    </xf>
    <xf numFmtId="164" fontId="2" fillId="0" borderId="0" xfId="1" applyNumberFormat="1" applyFont="1"/>
    <xf numFmtId="165" fontId="0" fillId="5" borderId="25" xfId="2" applyNumberFormat="1" applyFont="1" applyFill="1" applyBorder="1"/>
    <xf numFmtId="0" fontId="13" fillId="0" borderId="0" xfId="0" applyFont="1" applyFill="1" applyBorder="1"/>
    <xf numFmtId="10" fontId="3" fillId="0" borderId="0" xfId="0" applyNumberFormat="1" applyFont="1" applyFill="1"/>
    <xf numFmtId="9" fontId="0" fillId="0" borderId="0" xfId="3" applyFont="1" applyFill="1"/>
    <xf numFmtId="165" fontId="3" fillId="11" borderId="25" xfId="2" applyNumberFormat="1" applyFont="1" applyFill="1" applyBorder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5">
    <cellStyle name="Comma" xfId="1" builtinId="3"/>
    <cellStyle name="Comma 2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928687</xdr:colOff>
      <xdr:row>23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734500</xdr:colOff>
      <xdr:row>15</xdr:row>
      <xdr:rowOff>73291</xdr:rowOff>
    </xdr:from>
    <xdr:ext cx="5694239" cy="364618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 rot="20395701">
          <a:off x="2544250" y="3187966"/>
          <a:ext cx="5694239" cy="36461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opLeftCell="A7" workbookViewId="0">
      <selection activeCell="C6" sqref="C6"/>
    </sheetView>
  </sheetViews>
  <sheetFormatPr baseColWidth="10" defaultColWidth="8.83203125" defaultRowHeight="14" x14ac:dyDescent="0"/>
  <cols>
    <col min="2" max="2" width="25.83203125" bestFit="1" customWidth="1"/>
    <col min="3" max="3" width="11.83203125" bestFit="1" customWidth="1"/>
    <col min="4" max="4" width="12.1640625" bestFit="1" customWidth="1"/>
    <col min="6" max="6" width="11.6640625" customWidth="1"/>
    <col min="8" max="8" width="18.5" bestFit="1" customWidth="1"/>
  </cols>
  <sheetData>
    <row r="1" spans="2:9" ht="18">
      <c r="B1" s="24" t="s">
        <v>42</v>
      </c>
      <c r="C1" s="24"/>
    </row>
    <row r="2" spans="2:9" ht="15">
      <c r="B2" s="23" t="s">
        <v>49</v>
      </c>
      <c r="C2" s="23"/>
    </row>
    <row r="3" spans="2:9" ht="15">
      <c r="B3" s="23" t="s">
        <v>131</v>
      </c>
    </row>
    <row r="4" spans="2:9" ht="15">
      <c r="B4" s="23"/>
    </row>
    <row r="5" spans="2:9">
      <c r="B5" s="30" t="s">
        <v>96</v>
      </c>
      <c r="C5" s="194">
        <v>800000</v>
      </c>
      <c r="D5" s="193">
        <f>Summary!O47-Input!C5</f>
        <v>0</v>
      </c>
      <c r="E5" s="73" t="s">
        <v>142</v>
      </c>
    </row>
    <row r="6" spans="2:9">
      <c r="B6" s="30"/>
      <c r="C6" s="202"/>
      <c r="D6" s="193"/>
      <c r="E6" s="73"/>
    </row>
    <row r="7" spans="2:9">
      <c r="B7" s="30" t="s">
        <v>143</v>
      </c>
      <c r="C7" s="209" t="s">
        <v>147</v>
      </c>
      <c r="D7" s="193"/>
      <c r="E7" s="73"/>
    </row>
    <row r="8" spans="2:9">
      <c r="B8" t="s">
        <v>44</v>
      </c>
      <c r="C8" s="212">
        <v>6000</v>
      </c>
      <c r="D8" s="207">
        <v>9</v>
      </c>
      <c r="E8" s="73"/>
    </row>
    <row r="9" spans="2:9">
      <c r="B9" t="s">
        <v>45</v>
      </c>
      <c r="C9" s="199">
        <f>C8*1.5</f>
        <v>9000</v>
      </c>
      <c r="D9" s="207">
        <v>13</v>
      </c>
      <c r="E9" s="73"/>
    </row>
    <row r="10" spans="2:9">
      <c r="B10" t="s">
        <v>46</v>
      </c>
      <c r="C10" s="197">
        <f>C8*2</f>
        <v>12000</v>
      </c>
      <c r="D10" s="207">
        <v>7</v>
      </c>
      <c r="E10" s="73"/>
    </row>
    <row r="11" spans="2:9">
      <c r="B11" t="s">
        <v>47</v>
      </c>
      <c r="C11" s="197">
        <f>C8*2.5</f>
        <v>15000</v>
      </c>
      <c r="D11" s="207">
        <v>3</v>
      </c>
      <c r="E11" s="73"/>
    </row>
    <row r="12" spans="2:9">
      <c r="B12" t="s">
        <v>48</v>
      </c>
      <c r="C12" s="200">
        <f>C8*3</f>
        <v>18000</v>
      </c>
      <c r="D12" s="207">
        <v>4</v>
      </c>
      <c r="E12" s="73"/>
    </row>
    <row r="13" spans="2:9">
      <c r="B13" t="s">
        <v>2</v>
      </c>
      <c r="C13" s="208">
        <f>C8*D8+C9*D9+C10*D10+C11*D11+C12*D12</f>
        <v>372000</v>
      </c>
      <c r="D13" s="193"/>
      <c r="E13" s="73"/>
    </row>
    <row r="14" spans="2:9">
      <c r="B14" s="30"/>
      <c r="C14" s="202"/>
      <c r="D14" s="193"/>
      <c r="E14" s="73"/>
    </row>
    <row r="15" spans="2:9" ht="28">
      <c r="C15" s="206" t="s">
        <v>145</v>
      </c>
      <c r="D15" s="206" t="s">
        <v>146</v>
      </c>
    </row>
    <row r="16" spans="2:9">
      <c r="B16" s="30" t="s">
        <v>90</v>
      </c>
      <c r="C16" s="204">
        <f>IF(C5&lt;10000000,1860000/C5,18.45%)</f>
        <v>2.3250000000000002</v>
      </c>
      <c r="D16" s="51">
        <f>C13/C5</f>
        <v>0.46500000000000002</v>
      </c>
      <c r="H16" s="203"/>
      <c r="I16" s="196"/>
    </row>
    <row r="17" spans="2:11" hidden="1">
      <c r="B17" t="s">
        <v>35</v>
      </c>
      <c r="C17" s="205">
        <f>IF(C5&lt;10000000,30000/C5,C16*(1/62))</f>
        <v>3.7499999999999999E-2</v>
      </c>
      <c r="D17" s="6"/>
      <c r="H17" s="196"/>
      <c r="I17" s="198"/>
    </row>
    <row r="18" spans="2:11" hidden="1">
      <c r="B18" t="s">
        <v>24</v>
      </c>
      <c r="C18" s="205">
        <f>C17*1.5</f>
        <v>5.6249999999999994E-2</v>
      </c>
      <c r="D18" s="6"/>
      <c r="H18" s="196"/>
      <c r="I18" s="198"/>
    </row>
    <row r="19" spans="2:11" hidden="1">
      <c r="B19" t="s">
        <v>22</v>
      </c>
      <c r="C19" s="205">
        <f>C17*2</f>
        <v>7.4999999999999997E-2</v>
      </c>
      <c r="D19" s="6"/>
      <c r="H19" s="196"/>
      <c r="I19" s="198"/>
    </row>
    <row r="20" spans="2:11" hidden="1">
      <c r="B20" t="s">
        <v>23</v>
      </c>
      <c r="C20" s="205">
        <f>C17*2.5</f>
        <v>9.375E-2</v>
      </c>
      <c r="D20" s="6"/>
      <c r="H20" s="196"/>
      <c r="I20" s="198"/>
    </row>
    <row r="21" spans="2:11" hidden="1">
      <c r="B21" t="s">
        <v>36</v>
      </c>
      <c r="C21" s="205">
        <f>C17*3</f>
        <v>0.11249999999999999</v>
      </c>
      <c r="D21" s="49"/>
      <c r="H21" s="196"/>
      <c r="I21" s="198"/>
      <c r="K21" s="198"/>
    </row>
    <row r="22" spans="2:11" hidden="1">
      <c r="C22" s="34"/>
      <c r="D22" s="49"/>
      <c r="H22" s="196"/>
      <c r="I22" s="198"/>
      <c r="K22" s="198"/>
    </row>
    <row r="23" spans="2:11">
      <c r="C23" s="34"/>
      <c r="D23" s="49"/>
      <c r="H23" s="196"/>
      <c r="I23" s="198"/>
      <c r="K23" s="198"/>
    </row>
    <row r="24" spans="2:11" ht="28">
      <c r="C24" s="206" t="s">
        <v>146</v>
      </c>
      <c r="F24" s="206"/>
    </row>
    <row r="25" spans="2:11">
      <c r="B25" s="30" t="s">
        <v>89</v>
      </c>
      <c r="C25" s="52">
        <f>1-D16-C36-C39</f>
        <v>0.53499999999999992</v>
      </c>
      <c r="D25" s="22">
        <f>SUM(D26:D33)-1</f>
        <v>0</v>
      </c>
      <c r="F25" s="210"/>
      <c r="G25" s="187"/>
    </row>
    <row r="26" spans="2:11" hidden="1">
      <c r="B26" t="s">
        <v>25</v>
      </c>
      <c r="C26" s="34">
        <f t="shared" ref="C26:C33" si="0">$C$25*D26</f>
        <v>0</v>
      </c>
      <c r="D26" s="54">
        <v>0</v>
      </c>
      <c r="F26" s="187"/>
      <c r="G26" s="187"/>
    </row>
    <row r="27" spans="2:11">
      <c r="B27" t="s">
        <v>26</v>
      </c>
      <c r="C27" s="34">
        <f t="shared" si="0"/>
        <v>8.9166666666666644E-2</v>
      </c>
      <c r="D27" s="54">
        <f>1/6</f>
        <v>0.16666666666666666</v>
      </c>
      <c r="F27" s="34"/>
      <c r="G27" s="211"/>
    </row>
    <row r="28" spans="2:11">
      <c r="B28" t="s">
        <v>27</v>
      </c>
      <c r="C28" s="34">
        <f t="shared" si="0"/>
        <v>8.9166666666666644E-2</v>
      </c>
      <c r="D28" s="54">
        <f>1/6</f>
        <v>0.16666666666666666</v>
      </c>
      <c r="F28" s="34"/>
      <c r="G28" s="211"/>
    </row>
    <row r="29" spans="2:11">
      <c r="B29" t="s">
        <v>28</v>
      </c>
      <c r="C29" s="34">
        <f t="shared" si="0"/>
        <v>8.9166666666666644E-2</v>
      </c>
      <c r="D29" s="54">
        <f>1/6</f>
        <v>0.16666666666666666</v>
      </c>
      <c r="F29" s="34"/>
      <c r="G29" s="211"/>
    </row>
    <row r="30" spans="2:11">
      <c r="B30" t="s">
        <v>88</v>
      </c>
      <c r="C30" s="34">
        <f t="shared" si="0"/>
        <v>8.9166666666666644E-2</v>
      </c>
      <c r="D30" s="54">
        <f>1/6</f>
        <v>0.16666666666666666</v>
      </c>
      <c r="F30" s="34"/>
      <c r="G30" s="211"/>
    </row>
    <row r="31" spans="2:11">
      <c r="B31" t="s">
        <v>29</v>
      </c>
      <c r="C31" s="34">
        <f t="shared" si="0"/>
        <v>4.4583333333333322E-2</v>
      </c>
      <c r="D31" s="54">
        <f>1/12</f>
        <v>8.3333333333333329E-2</v>
      </c>
      <c r="F31" s="34"/>
      <c r="G31" s="211"/>
    </row>
    <row r="32" spans="2:11">
      <c r="B32" t="s">
        <v>38</v>
      </c>
      <c r="C32" s="34">
        <f t="shared" si="0"/>
        <v>4.4583333333333322E-2</v>
      </c>
      <c r="D32" s="54">
        <f>1/12</f>
        <v>8.3333333333333329E-2</v>
      </c>
      <c r="F32" s="34"/>
      <c r="G32" s="211"/>
    </row>
    <row r="33" spans="2:7">
      <c r="B33" t="s">
        <v>30</v>
      </c>
      <c r="C33" s="34">
        <f t="shared" si="0"/>
        <v>8.9166666666666644E-2</v>
      </c>
      <c r="D33" s="54">
        <f>1/6</f>
        <v>0.16666666666666666</v>
      </c>
      <c r="F33" s="34"/>
      <c r="G33" s="211"/>
    </row>
    <row r="34" spans="2:7">
      <c r="C34" s="29"/>
      <c r="D34" s="22"/>
    </row>
    <row r="35" spans="2:7">
      <c r="C35" s="29"/>
    </row>
    <row r="36" spans="2:7">
      <c r="B36" s="30" t="s">
        <v>31</v>
      </c>
      <c r="C36" s="51">
        <f>IF($C$5&gt;=15000000,0.05,0)</f>
        <v>0</v>
      </c>
    </row>
    <row r="37" spans="2:7">
      <c r="B37" s="92" t="s">
        <v>114</v>
      </c>
      <c r="C37" s="93">
        <v>0.5</v>
      </c>
    </row>
    <row r="38" spans="2:7">
      <c r="B38" s="30"/>
      <c r="C38" s="91"/>
    </row>
    <row r="39" spans="2:7">
      <c r="B39" s="30" t="s">
        <v>32</v>
      </c>
      <c r="C39" s="51">
        <f>IF($C$5&gt;=15000000,0.01,0)</f>
        <v>0</v>
      </c>
    </row>
    <row r="40" spans="2:7">
      <c r="B40" s="94" t="s">
        <v>115</v>
      </c>
      <c r="C40" s="93">
        <v>0.24</v>
      </c>
    </row>
    <row r="41" spans="2:7">
      <c r="B41" s="30"/>
      <c r="C41" s="91"/>
    </row>
    <row r="42" spans="2:7">
      <c r="B42" s="73" t="s">
        <v>104</v>
      </c>
      <c r="C42" s="34">
        <f>$C$39*D42</f>
        <v>0</v>
      </c>
      <c r="D42" s="54">
        <v>1</v>
      </c>
    </row>
    <row r="43" spans="2:7">
      <c r="B43" s="73" t="s">
        <v>105</v>
      </c>
      <c r="C43" s="34">
        <f>$C$39*D43</f>
        <v>0</v>
      </c>
      <c r="D43" s="54">
        <v>0</v>
      </c>
    </row>
    <row r="44" spans="2:7" hidden="1">
      <c r="B44" s="73" t="s">
        <v>106</v>
      </c>
      <c r="C44" s="34">
        <f>$C$39*D44</f>
        <v>0</v>
      </c>
      <c r="D44" s="54">
        <v>0</v>
      </c>
    </row>
    <row r="45" spans="2:7" hidden="1">
      <c r="B45" s="73" t="s">
        <v>107</v>
      </c>
      <c r="C45" s="34">
        <f>$C$39*D45</f>
        <v>0</v>
      </c>
      <c r="D45" s="54">
        <v>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6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8">
      <c r="B3" t="s">
        <v>0</v>
      </c>
      <c r="C3" s="1">
        <f>'County Data'!C5</f>
        <v>800000</v>
      </c>
    </row>
    <row r="4" spans="2:8">
      <c r="B4" t="s">
        <v>41</v>
      </c>
      <c r="C4" s="14">
        <f>'County Data'!H9</f>
        <v>35666.666666666657</v>
      </c>
      <c r="D4" s="9"/>
    </row>
    <row r="6" spans="2:8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>
      <c r="B7" s="20" t="str">
        <f>+'County Data'!$B$12</f>
        <v>Clackamas</v>
      </c>
      <c r="C7" s="15">
        <f>VLOOKUP($B7,'County Data'!$B$10:$L$46,2,FALSE)</f>
        <v>419425</v>
      </c>
      <c r="D7" s="29">
        <f>VLOOKUP($B7,'County Data'!$B$10:$L$46,7,FALSE)</f>
        <v>0.14799999999999999</v>
      </c>
      <c r="E7" s="31">
        <f t="shared" ref="E7:E40" si="0">C7*D7</f>
        <v>62074.899999999994</v>
      </c>
      <c r="F7" s="6">
        <f t="shared" ref="F7:F40" si="1">E7/$E$41</f>
        <v>6.0765258295157151E-2</v>
      </c>
      <c r="G7" s="14">
        <f t="shared" ref="G7:G40" si="2">$C$4*F7</f>
        <v>2167.2942125272712</v>
      </c>
      <c r="H7" s="10">
        <f t="shared" ref="H7:H40" si="3">G7/C7</f>
        <v>5.1672985933772933E-3</v>
      </c>
    </row>
    <row r="8" spans="2:8">
      <c r="B8" s="20" t="str">
        <f>+'County Data'!$B$44</f>
        <v>Washington</v>
      </c>
      <c r="C8" s="15">
        <f>VLOOKUP($B8,'County Data'!$B$10:$L$46,2,FALSE)</f>
        <v>606280</v>
      </c>
      <c r="D8" s="29">
        <f>VLOOKUP($B8,'County Data'!$B$10:$L$46,7,FALSE)</f>
        <v>0.17499999999999999</v>
      </c>
      <c r="E8" s="31">
        <f t="shared" si="0"/>
        <v>106099</v>
      </c>
      <c r="F8" s="6">
        <f t="shared" si="1"/>
        <v>0.10386054814196848</v>
      </c>
      <c r="G8" s="14">
        <f t="shared" si="2"/>
        <v>3704.3595503968745</v>
      </c>
      <c r="H8" s="10">
        <f t="shared" si="3"/>
        <v>6.1099814448717996E-3</v>
      </c>
    </row>
    <row r="9" spans="2:8">
      <c r="B9" s="20" t="str">
        <f>+'County Data'!$B$18</f>
        <v>Deschutes</v>
      </c>
      <c r="C9" s="15">
        <f>VLOOKUP($B9,'County Data'!$B$10:$L$46,2,FALSE)</f>
        <v>188980</v>
      </c>
      <c r="D9" s="29">
        <f>VLOOKUP($B9,'County Data'!$B$10:$L$46,7,FALSE)</f>
        <v>0.20200000000000001</v>
      </c>
      <c r="E9" s="31">
        <f t="shared" si="0"/>
        <v>38173.96</v>
      </c>
      <c r="F9" s="6">
        <f t="shared" si="1"/>
        <v>3.7368574730672101E-2</v>
      </c>
      <c r="G9" s="14">
        <f t="shared" si="2"/>
        <v>1332.8124987273045</v>
      </c>
      <c r="H9" s="10">
        <f t="shared" si="3"/>
        <v>7.0526642963663058E-3</v>
      </c>
    </row>
    <row r="10" spans="2:8">
      <c r="B10" s="20" t="str">
        <f>+'County Data'!$B$14</f>
        <v>Columbia</v>
      </c>
      <c r="C10" s="15">
        <f>VLOOKUP($B10,'County Data'!$B$10:$L$46,2,FALSE)</f>
        <v>51900</v>
      </c>
      <c r="D10" s="29">
        <f>VLOOKUP($B10,'County Data'!$B$10:$L$46,7,FALSE)</f>
        <v>0.221</v>
      </c>
      <c r="E10" s="31">
        <f t="shared" si="0"/>
        <v>11469.9</v>
      </c>
      <c r="F10" s="6">
        <f t="shared" si="1"/>
        <v>1.1227910735573042E-2</v>
      </c>
      <c r="G10" s="14">
        <f t="shared" si="2"/>
        <v>400.46214956877174</v>
      </c>
      <c r="H10" s="10">
        <f t="shared" si="3"/>
        <v>7.7160337103809587E-3</v>
      </c>
    </row>
    <row r="11" spans="2:8">
      <c r="B11" s="20" t="str">
        <f>+'County Data'!$B$37</f>
        <v>Polk</v>
      </c>
      <c r="C11" s="15">
        <f>VLOOKUP($B11,'County Data'!$B$10:$L$46,2,FALSE)</f>
        <v>82100</v>
      </c>
      <c r="D11" s="29">
        <f>VLOOKUP($B11,'County Data'!$B$10:$L$46,7,FALSE)</f>
        <v>0.24</v>
      </c>
      <c r="E11" s="31">
        <f t="shared" si="0"/>
        <v>19704</v>
      </c>
      <c r="F11" s="6">
        <f t="shared" si="1"/>
        <v>1.9288289621856445E-2</v>
      </c>
      <c r="G11" s="14">
        <f t="shared" si="2"/>
        <v>687.94899651287972</v>
      </c>
      <c r="H11" s="10">
        <f t="shared" si="3"/>
        <v>8.3794031243956124E-3</v>
      </c>
    </row>
    <row r="12" spans="2:8">
      <c r="B12" s="20" t="str">
        <f>+'County Data'!$B$23</f>
        <v>Hood River</v>
      </c>
      <c r="C12" s="15">
        <f>VLOOKUP($B12,'County Data'!$B$10:$L$46,2,FALSE)</f>
        <v>25310</v>
      </c>
      <c r="D12" s="29">
        <f>VLOOKUP($B12,'County Data'!$B$10:$L$46,7,FALSE)</f>
        <v>0.24</v>
      </c>
      <c r="E12" s="31">
        <f t="shared" si="0"/>
        <v>6074.4</v>
      </c>
      <c r="F12" s="6">
        <f t="shared" si="1"/>
        <v>5.9462437311715785E-3</v>
      </c>
      <c r="G12" s="14">
        <f t="shared" si="2"/>
        <v>212.08269307845291</v>
      </c>
      <c r="H12" s="10">
        <f t="shared" si="3"/>
        <v>8.3794031243956107E-3</v>
      </c>
    </row>
    <row r="13" spans="2:8">
      <c r="B13" s="20" t="str">
        <f>+'County Data'!$B$46</f>
        <v>Yamhill</v>
      </c>
      <c r="C13" s="15">
        <f>VLOOKUP($B13,'County Data'!$B$10:$L$46,2,FALSE)</f>
        <v>107415</v>
      </c>
      <c r="D13" s="29">
        <f>VLOOKUP($B13,'County Data'!$B$10:$L$46,7,FALSE)</f>
        <v>0.22100000000000003</v>
      </c>
      <c r="E13" s="31">
        <f t="shared" si="0"/>
        <v>23738.715000000004</v>
      </c>
      <c r="F13" s="6">
        <f t="shared" si="1"/>
        <v>2.3237881149548719E-2</v>
      </c>
      <c r="G13" s="14">
        <f t="shared" si="2"/>
        <v>828.81776100057073</v>
      </c>
      <c r="H13" s="10">
        <f t="shared" si="3"/>
        <v>7.7160337103809595E-3</v>
      </c>
    </row>
    <row r="14" spans="2:8">
      <c r="B14" s="20" t="str">
        <f>+'County Data'!$B$35</f>
        <v>Multnomah</v>
      </c>
      <c r="C14" s="15">
        <f>VLOOKUP($B14,'County Data'!$B$10:$L$46,2,FALSE)</f>
        <v>813300</v>
      </c>
      <c r="D14" s="29">
        <f>VLOOKUP($B14,'County Data'!$B$10:$L$46,7,FALSE)</f>
        <v>0.249</v>
      </c>
      <c r="E14" s="31">
        <f t="shared" si="0"/>
        <v>202511.7</v>
      </c>
      <c r="F14" s="6">
        <f t="shared" si="1"/>
        <v>0.19823915557320879</v>
      </c>
      <c r="G14" s="14">
        <f t="shared" si="2"/>
        <v>7070.5298821111119</v>
      </c>
      <c r="H14" s="10">
        <f t="shared" si="3"/>
        <v>8.6936307415604475E-3</v>
      </c>
    </row>
    <row r="15" spans="2:8">
      <c r="B15" s="20" t="str">
        <f>+'County Data'!$B$42</f>
        <v>Wallowa</v>
      </c>
      <c r="C15" s="15">
        <f>VLOOKUP($B15,'County Data'!$B$10:$L$46,2,FALSE)</f>
        <v>7175</v>
      </c>
      <c r="D15" s="29">
        <f>VLOOKUP($B15,'County Data'!$B$10:$L$46,7,FALSE)</f>
        <v>0.24099999999999999</v>
      </c>
      <c r="E15" s="31">
        <f t="shared" si="0"/>
        <v>1729.175</v>
      </c>
      <c r="F15" s="6">
        <f t="shared" si="1"/>
        <v>1.6926932707507926E-3</v>
      </c>
      <c r="G15" s="14">
        <f t="shared" si="2"/>
        <v>60.372726656778248</v>
      </c>
      <c r="H15" s="10">
        <f t="shared" si="3"/>
        <v>8.4143173040805916E-3</v>
      </c>
    </row>
    <row r="16" spans="2:8">
      <c r="B16" s="20" t="str">
        <f>+'County Data'!$B$13</f>
        <v>Clatsop</v>
      </c>
      <c r="C16" s="15">
        <f>VLOOKUP($B16,'County Data'!$B$10:$L$46,2,FALSE)</f>
        <v>39200</v>
      </c>
      <c r="D16" s="29">
        <f>VLOOKUP($B16,'County Data'!$B$10:$L$46,7,FALSE)</f>
        <v>0.245</v>
      </c>
      <c r="E16" s="31">
        <f t="shared" si="0"/>
        <v>9604</v>
      </c>
      <c r="F16" s="6">
        <f t="shared" si="1"/>
        <v>9.4013770568569469E-3</v>
      </c>
      <c r="G16" s="14">
        <f t="shared" si="2"/>
        <v>335.31578169456435</v>
      </c>
      <c r="H16" s="10">
        <f t="shared" si="3"/>
        <v>8.5539740228205187E-3</v>
      </c>
    </row>
    <row r="17" spans="2:8">
      <c r="B17" s="20" t="str">
        <f>+'County Data'!$B$36</f>
        <v>Gilliam, Sherman, Wasco</v>
      </c>
      <c r="C17" s="15">
        <f>VLOOKUP($B17,'County Data'!$B$10:$L$46,2,FALSE)</f>
        <v>30970</v>
      </c>
      <c r="D17" s="29">
        <f>VLOOKUP($B17,'County Data'!$B$10:$L$46,7,FALSE)</f>
        <v>0.24265191832759397</v>
      </c>
      <c r="E17" s="31">
        <f t="shared" si="0"/>
        <v>7514.9299106055851</v>
      </c>
      <c r="F17" s="6">
        <f t="shared" si="1"/>
        <v>7.356381679035337E-3</v>
      </c>
      <c r="G17" s="14">
        <f t="shared" si="2"/>
        <v>262.37761321892697</v>
      </c>
      <c r="H17" s="10">
        <f t="shared" si="3"/>
        <v>8.4719926773951237E-3</v>
      </c>
    </row>
    <row r="18" spans="2:8">
      <c r="B18" s="20" t="str">
        <f>+'County Data'!$B$34</f>
        <v>Morrow</v>
      </c>
      <c r="C18" s="15">
        <f>VLOOKUP($B18,'County Data'!$B$10:$L$46,2,FALSE)</f>
        <v>11885</v>
      </c>
      <c r="D18" s="29">
        <f>VLOOKUP($B18,'County Data'!$B$10:$L$46,7,FALSE)</f>
        <v>0.27500000000000002</v>
      </c>
      <c r="E18" s="31">
        <f t="shared" si="0"/>
        <v>3268.3750000000005</v>
      </c>
      <c r="F18" s="6">
        <f t="shared" si="1"/>
        <v>3.19941958956735E-3</v>
      </c>
      <c r="G18" s="14">
        <f t="shared" si="2"/>
        <v>114.11263202790212</v>
      </c>
      <c r="H18" s="10">
        <f t="shared" si="3"/>
        <v>9.601399413369972E-3</v>
      </c>
    </row>
    <row r="19" spans="2:8">
      <c r="B19" s="20" t="str">
        <f>+'County Data'!$B$39</f>
        <v>Tillamook</v>
      </c>
      <c r="C19" s="15">
        <f>VLOOKUP($B19,'County Data'!$B$10:$L$46,2,FALSE)</f>
        <v>26395</v>
      </c>
      <c r="D19" s="29">
        <f>VLOOKUP($B19,'County Data'!$B$10:$L$46,7,FALSE)</f>
        <v>0.25800000000000001</v>
      </c>
      <c r="E19" s="31">
        <f t="shared" si="0"/>
        <v>6809.91</v>
      </c>
      <c r="F19" s="6">
        <f t="shared" si="1"/>
        <v>6.6662361134173986E-3</v>
      </c>
      <c r="G19" s="14">
        <f t="shared" si="2"/>
        <v>237.76242137855382</v>
      </c>
      <c r="H19" s="10">
        <f t="shared" si="3"/>
        <v>9.0078583587252826E-3</v>
      </c>
    </row>
    <row r="20" spans="2:8">
      <c r="B20" s="20" t="str">
        <f>+'County Data'!$B$10</f>
        <v>Baker</v>
      </c>
      <c r="C20" s="15">
        <f>VLOOKUP($B20,'County Data'!$B$10:$L$46,2,FALSE)</f>
        <v>16765</v>
      </c>
      <c r="D20" s="29">
        <f>VLOOKUP($B20,'County Data'!$B$10:$L$46,7,FALSE)</f>
        <v>0.27100000000000002</v>
      </c>
      <c r="E20" s="31">
        <f t="shared" si="0"/>
        <v>4543.3150000000005</v>
      </c>
      <c r="F20" s="6">
        <f t="shared" si="1"/>
        <v>4.4474612039852174E-3</v>
      </c>
      <c r="G20" s="14">
        <f t="shared" si="2"/>
        <v>158.6261162754727</v>
      </c>
      <c r="H20" s="10">
        <f t="shared" si="3"/>
        <v>9.4617426946300449E-3</v>
      </c>
    </row>
    <row r="21" spans="2:8">
      <c r="B21" s="20" t="str">
        <f>+'County Data'!$B$17</f>
        <v>Curry</v>
      </c>
      <c r="C21" s="15">
        <f>VLOOKUP($B21,'County Data'!$B$10:$L$46,2,FALSE)</f>
        <v>22915</v>
      </c>
      <c r="D21" s="29">
        <f>VLOOKUP($B21,'County Data'!$B$10:$L$46,7,FALSE)</f>
        <v>0.27500000000000002</v>
      </c>
      <c r="E21" s="31">
        <f t="shared" si="0"/>
        <v>6301.6250000000009</v>
      </c>
      <c r="F21" s="6">
        <f t="shared" si="1"/>
        <v>6.1686747913282146E-3</v>
      </c>
      <c r="G21" s="14">
        <f t="shared" si="2"/>
        <v>220.01606755737293</v>
      </c>
      <c r="H21" s="10">
        <f t="shared" si="3"/>
        <v>9.6013994133699737E-3</v>
      </c>
    </row>
    <row r="22" spans="2:8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Data'!$B$10:$L$46,7,FALSE)</f>
        <v>0.27300000000000002</v>
      </c>
      <c r="E22" s="31">
        <f t="shared" si="0"/>
        <v>34281.975000000006</v>
      </c>
      <c r="F22" s="6">
        <f t="shared" si="1"/>
        <v>3.3558701918861254E-2</v>
      </c>
      <c r="G22" s="14">
        <f t="shared" si="2"/>
        <v>1196.9270351060511</v>
      </c>
      <c r="H22" s="10">
        <f t="shared" si="3"/>
        <v>9.5315710540000084E-3</v>
      </c>
    </row>
    <row r="23" spans="2:8">
      <c r="B23" s="20" t="str">
        <f>+'County Data'!$B$22</f>
        <v>Harney</v>
      </c>
      <c r="C23" s="15">
        <f>VLOOKUP($B23,'County Data'!$B$10:$L$46,2,FALSE)</f>
        <v>7380</v>
      </c>
      <c r="D23" s="29">
        <f>VLOOKUP($B23,'County Data'!$B$10:$L$46,7,FALSE)</f>
        <v>0.30599999999999999</v>
      </c>
      <c r="E23" s="31">
        <f t="shared" si="0"/>
        <v>2258.2799999999997</v>
      </c>
      <c r="F23" s="6">
        <f t="shared" si="1"/>
        <v>2.2106353373551545E-3</v>
      </c>
      <c r="G23" s="14">
        <f t="shared" si="2"/>
        <v>78.845993699000488</v>
      </c>
      <c r="H23" s="10">
        <f t="shared" si="3"/>
        <v>1.0683738983604403E-2</v>
      </c>
    </row>
    <row r="24" spans="2:8">
      <c r="B24" s="20" t="str">
        <f>+'County Data'!$B$21</f>
        <v>Grant</v>
      </c>
      <c r="C24" s="15">
        <f>VLOOKUP($B24,'County Data'!$B$10:$L$46,2,FALSE)</f>
        <v>7400</v>
      </c>
      <c r="D24" s="29">
        <f>VLOOKUP($B24,'County Data'!$B$10:$L$46,7,FALSE)</f>
        <v>0.25700000000000001</v>
      </c>
      <c r="E24" s="31">
        <f t="shared" si="0"/>
        <v>1901.8</v>
      </c>
      <c r="F24" s="6">
        <f t="shared" si="1"/>
        <v>1.8616762689223805E-3</v>
      </c>
      <c r="G24" s="14">
        <f t="shared" si="2"/>
        <v>66.399786924898223</v>
      </c>
      <c r="H24" s="10">
        <f t="shared" si="3"/>
        <v>8.9729441790403E-3</v>
      </c>
    </row>
    <row r="25" spans="2:8">
      <c r="B25" s="20" t="str">
        <f>+'County Data'!$B$19</f>
        <v>Douglas</v>
      </c>
      <c r="C25" s="15">
        <f>VLOOKUP($B25,'County Data'!$B$10:$L$46,2,FALSE)</f>
        <v>111735</v>
      </c>
      <c r="D25" s="29">
        <f>VLOOKUP($B25,'County Data'!$B$10:$L$46,7,FALSE)</f>
        <v>0.27600000000000002</v>
      </c>
      <c r="E25" s="31">
        <f t="shared" si="0"/>
        <v>30838.860000000004</v>
      </c>
      <c r="F25" s="6">
        <f t="shared" si="1"/>
        <v>3.0188228952897075E-2</v>
      </c>
      <c r="G25" s="14">
        <f t="shared" si="2"/>
        <v>1076.7134993199954</v>
      </c>
      <c r="H25" s="10">
        <f t="shared" si="3"/>
        <v>9.6363135930549546E-3</v>
      </c>
    </row>
    <row r="26" spans="2:8">
      <c r="B26" s="20" t="str">
        <f>+'County Data'!$B$24</f>
        <v>Jackson</v>
      </c>
      <c r="C26" s="15">
        <f>VLOOKUP($B26,'County Data'!$B$10:$L$46,2,FALSE)</f>
        <v>219200</v>
      </c>
      <c r="D26" s="29">
        <f>VLOOKUP($B26,'County Data'!$B$10:$L$46,7,FALSE)</f>
        <v>0.27500000000000002</v>
      </c>
      <c r="E26" s="31">
        <f t="shared" si="0"/>
        <v>60280.000000000007</v>
      </c>
      <c r="F26" s="6">
        <f t="shared" si="1"/>
        <v>5.9008226675066312E-2</v>
      </c>
      <c r="G26" s="14">
        <f t="shared" si="2"/>
        <v>2104.626751410698</v>
      </c>
      <c r="H26" s="10">
        <f t="shared" si="3"/>
        <v>9.601399413369972E-3</v>
      </c>
    </row>
    <row r="27" spans="2:8">
      <c r="B27" s="20" t="str">
        <f>+'County Data'!$B$33</f>
        <v>Marion</v>
      </c>
      <c r="C27" s="15">
        <f>VLOOKUP($B27,'County Data'!$B$10:$L$46,2,FALSE)</f>
        <v>344035</v>
      </c>
      <c r="D27" s="29">
        <f>VLOOKUP($B27,'County Data'!$B$10:$L$46,7,FALSE)</f>
        <v>0.28100000000000003</v>
      </c>
      <c r="E27" s="31">
        <f t="shared" si="0"/>
        <v>96673.835000000006</v>
      </c>
      <c r="F27" s="6">
        <f t="shared" si="1"/>
        <v>9.4634233066157245E-2</v>
      </c>
      <c r="G27" s="14">
        <f t="shared" si="2"/>
        <v>3375.2876460262742</v>
      </c>
      <c r="H27" s="10">
        <f t="shared" si="3"/>
        <v>9.8108844914798609E-3</v>
      </c>
    </row>
    <row r="28" spans="2:8">
      <c r="B28" s="20" t="str">
        <f>+'County Data'!$B$40</f>
        <v>Umatilla</v>
      </c>
      <c r="C28" s="15">
        <f>VLOOKUP($B28,'County Data'!$B$10:$L$46,2,FALSE)</f>
        <v>80765</v>
      </c>
      <c r="D28" s="29">
        <f>VLOOKUP($B28,'County Data'!$B$10:$L$46,7,FALSE)</f>
        <v>0.29699999999999999</v>
      </c>
      <c r="E28" s="31">
        <f t="shared" si="0"/>
        <v>23987.204999999998</v>
      </c>
      <c r="F28" s="6">
        <f t="shared" si="1"/>
        <v>2.3481128565714729E-2</v>
      </c>
      <c r="G28" s="14">
        <f t="shared" si="2"/>
        <v>837.49358551049181</v>
      </c>
      <c r="H28" s="10">
        <f t="shared" si="3"/>
        <v>1.0369511366439569E-2</v>
      </c>
    </row>
    <row r="29" spans="2:8">
      <c r="B29" s="20" t="str">
        <f>+'County Data'!$B$30</f>
        <v>Lincoln</v>
      </c>
      <c r="C29" s="15">
        <f>VLOOKUP($B29,'County Data'!$B$10:$L$46,2,FALSE)</f>
        <v>48210</v>
      </c>
      <c r="D29" s="29">
        <f>VLOOKUP($B29,'County Data'!$B$10:$L$46,7,FALSE)</f>
        <v>0.30299999999999999</v>
      </c>
      <c r="E29" s="31">
        <f t="shared" si="0"/>
        <v>14607.63</v>
      </c>
      <c r="F29" s="6">
        <f t="shared" si="1"/>
        <v>1.4299441642758773E-2</v>
      </c>
      <c r="G29" s="14">
        <f t="shared" si="2"/>
        <v>510.01341859172942</v>
      </c>
      <c r="H29" s="10">
        <f t="shared" si="3"/>
        <v>1.0578996444549458E-2</v>
      </c>
    </row>
    <row r="30" spans="2:8">
      <c r="B30" s="20" t="str">
        <f>+'County Data'!$B$11</f>
        <v>Benton</v>
      </c>
      <c r="C30" s="15">
        <f>VLOOKUP($B30,'County Data'!$B$10:$L$46,2,FALSE)</f>
        <v>93590</v>
      </c>
      <c r="D30" s="29">
        <f>VLOOKUP($B30,'County Data'!$B$10:$L$46,7,FALSE)</f>
        <v>0.29299999999999998</v>
      </c>
      <c r="E30" s="31">
        <f t="shared" si="0"/>
        <v>27421.87</v>
      </c>
      <c r="F30" s="6">
        <f t="shared" si="1"/>
        <v>2.6843329807800274E-2</v>
      </c>
      <c r="G30" s="14">
        <f t="shared" si="2"/>
        <v>957.41209647820949</v>
      </c>
      <c r="H30" s="10">
        <f t="shared" si="3"/>
        <v>1.0229854647699642E-2</v>
      </c>
    </row>
    <row r="31" spans="2:8">
      <c r="B31" s="20" t="str">
        <f>+'County Data'!$B$29</f>
        <v>Lane</v>
      </c>
      <c r="C31" s="15">
        <f>VLOOKUP($B31,'County Data'!$B$10:$L$46,2,FALSE)</f>
        <v>375120</v>
      </c>
      <c r="D31" s="29">
        <f>VLOOKUP($B31,'County Data'!$B$10:$L$46,7,FALSE)</f>
        <v>0.29099999999999998</v>
      </c>
      <c r="E31" s="31">
        <f t="shared" si="0"/>
        <v>109159.92</v>
      </c>
      <c r="F31" s="6">
        <f t="shared" si="1"/>
        <v>0.10685688956854851</v>
      </c>
      <c r="G31" s="14">
        <f t="shared" si="2"/>
        <v>3811.229061278229</v>
      </c>
      <c r="H31" s="10">
        <f t="shared" si="3"/>
        <v>1.0160026288329679E-2</v>
      </c>
    </row>
    <row r="32" spans="2:8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Data'!$B$10:$L$46,7,FALSE)</f>
        <v>0.3</v>
      </c>
      <c r="E32" s="31">
        <f t="shared" si="0"/>
        <v>6813</v>
      </c>
      <c r="F32" s="6">
        <f t="shared" si="1"/>
        <v>6.6692609213209481E-3</v>
      </c>
      <c r="G32" s="14">
        <f t="shared" si="2"/>
        <v>237.87030619378041</v>
      </c>
      <c r="H32" s="10">
        <f t="shared" si="3"/>
        <v>1.0474253905494514E-2</v>
      </c>
    </row>
    <row r="33" spans="2:8">
      <c r="B33" s="20" t="str">
        <f>+'County Data'!$B$25</f>
        <v>Jefferson</v>
      </c>
      <c r="C33" s="15">
        <f>VLOOKUP($B33,'County Data'!$B$10:$L$46,2,FALSE)</f>
        <v>23560</v>
      </c>
      <c r="D33" s="29">
        <f>VLOOKUP($B33,'County Data'!$B$10:$L$46,7,FALSE)</f>
        <v>0.32400000000000001</v>
      </c>
      <c r="E33" s="31">
        <f t="shared" si="0"/>
        <v>7633.4400000000005</v>
      </c>
      <c r="F33" s="6">
        <f t="shared" si="1"/>
        <v>7.4723914703138383E-3</v>
      </c>
      <c r="G33" s="14">
        <f t="shared" si="2"/>
        <v>266.51529577452681</v>
      </c>
      <c r="H33" s="10">
        <f t="shared" si="3"/>
        <v>1.1312194217934075E-2</v>
      </c>
    </row>
    <row r="34" spans="2:8">
      <c r="B34" s="20" t="str">
        <f>+'County Data'!$B$15</f>
        <v>Coos</v>
      </c>
      <c r="C34" s="15">
        <f>VLOOKUP($B34,'County Data'!$B$10:$L$46,2,FALSE)</f>
        <v>63275</v>
      </c>
      <c r="D34" s="29">
        <f>VLOOKUP($B34,'County Data'!$B$10:$L$46,7,FALSE)</f>
        <v>0.312</v>
      </c>
      <c r="E34" s="31">
        <f t="shared" si="0"/>
        <v>19741.8</v>
      </c>
      <c r="F34" s="6">
        <f t="shared" si="1"/>
        <v>1.9325292126307632E-2</v>
      </c>
      <c r="G34" s="14">
        <f t="shared" si="2"/>
        <v>689.26875250497199</v>
      </c>
      <c r="H34" s="10">
        <f t="shared" si="3"/>
        <v>1.0893224061714295E-2</v>
      </c>
    </row>
    <row r="35" spans="2:8">
      <c r="B35" s="20" t="str">
        <f>+'County Data'!$B$27</f>
        <v>Klamath</v>
      </c>
      <c r="C35" s="15">
        <f>VLOOKUP($B35,'County Data'!$B$10:$L$46,2,FALSE)</f>
        <v>67960</v>
      </c>
      <c r="D35" s="29">
        <f>VLOOKUP($B35,'County Data'!$B$10:$L$46,7,FALSE)</f>
        <v>0.32799999999999996</v>
      </c>
      <c r="E35" s="31">
        <f t="shared" si="0"/>
        <v>22290.879999999997</v>
      </c>
      <c r="F35" s="6">
        <f t="shared" si="1"/>
        <v>2.1820592233356036E-2</v>
      </c>
      <c r="G35" s="14">
        <f t="shared" si="2"/>
        <v>778.26778965636504</v>
      </c>
      <c r="H35" s="10">
        <f t="shared" si="3"/>
        <v>1.1451850936674E-2</v>
      </c>
    </row>
    <row r="36" spans="2:8">
      <c r="B36" s="20" t="str">
        <f>'County Data'!$B$45</f>
        <v>Wheeler</v>
      </c>
      <c r="C36" s="15">
        <f>VLOOKUP($B36,'County Data'!$B$10:$L$46,2,FALSE)</f>
        <v>1450</v>
      </c>
      <c r="D36" s="29">
        <f>VLOOKUP($B36,'County Data'!$B$10:$L$46,7,FALSE)</f>
        <v>0.33299999999999996</v>
      </c>
      <c r="E36" s="31">
        <f t="shared" si="0"/>
        <v>482.84999999999997</v>
      </c>
      <c r="F36" s="6">
        <f t="shared" si="1"/>
        <v>4.7266294376336704E-4</v>
      </c>
      <c r="G36" s="14">
        <f t="shared" si="2"/>
        <v>16.85831166089342</v>
      </c>
      <c r="H36" s="10">
        <f t="shared" si="3"/>
        <v>1.1626421835098912E-2</v>
      </c>
    </row>
    <row r="37" spans="2:8">
      <c r="B37" s="20" t="str">
        <f>+'County Data'!$B$41</f>
        <v>Union</v>
      </c>
      <c r="C37" s="15">
        <f>VLOOKUP($B37,'County Data'!$B$10:$L$46,2,FALSE)</f>
        <v>26885</v>
      </c>
      <c r="D37" s="29">
        <f>VLOOKUP($B37,'County Data'!$B$10:$L$46,7,FALSE)</f>
        <v>0.32099999999999995</v>
      </c>
      <c r="E37" s="31">
        <f t="shared" si="0"/>
        <v>8630.0849999999991</v>
      </c>
      <c r="F37" s="6">
        <f t="shared" si="1"/>
        <v>8.4480094874766019E-3</v>
      </c>
      <c r="G37" s="14">
        <f t="shared" si="2"/>
        <v>301.31233838666537</v>
      </c>
      <c r="H37" s="10">
        <f t="shared" si="3"/>
        <v>1.1207451678879128E-2</v>
      </c>
    </row>
    <row r="38" spans="2:8">
      <c r="B38" s="20" t="str">
        <f>+'County Data'!$B$28</f>
        <v>Lake</v>
      </c>
      <c r="C38" s="15">
        <f>VLOOKUP($B38,'County Data'!$B$10:$L$46,2,FALSE)</f>
        <v>8115</v>
      </c>
      <c r="D38" s="29">
        <f>VLOOKUP($B38,'County Data'!$B$10:$L$46,7,FALSE)</f>
        <v>0.36099999999999999</v>
      </c>
      <c r="E38" s="31">
        <f t="shared" si="0"/>
        <v>2929.5149999999999</v>
      </c>
      <c r="F38" s="6">
        <f t="shared" si="1"/>
        <v>2.8677087785004456E-3</v>
      </c>
      <c r="G38" s="14">
        <f t="shared" si="2"/>
        <v>102.2816130998492</v>
      </c>
      <c r="H38" s="10">
        <f t="shared" si="3"/>
        <v>1.2604018866278398E-2</v>
      </c>
    </row>
    <row r="39" spans="2:8">
      <c r="B39" s="20" t="str">
        <f>+'County Data'!$B$26</f>
        <v>Josephine</v>
      </c>
      <c r="C39" s="15">
        <f>VLOOKUP($B39,'County Data'!$B$10:$L$46,2,FALSE)</f>
        <v>86395</v>
      </c>
      <c r="D39" s="29">
        <f>VLOOKUP($B39,'County Data'!$B$10:$L$46,7,FALSE)</f>
        <v>0.34499999999999997</v>
      </c>
      <c r="E39" s="31">
        <f t="shared" si="0"/>
        <v>29806.274999999998</v>
      </c>
      <c r="F39" s="6">
        <f t="shared" si="1"/>
        <v>2.917742918943865E-2</v>
      </c>
      <c r="G39" s="14">
        <f t="shared" si="2"/>
        <v>1040.6616410899783</v>
      </c>
      <c r="H39" s="10">
        <f t="shared" si="3"/>
        <v>1.2045391991318691E-2</v>
      </c>
    </row>
    <row r="40" spans="2:8">
      <c r="B40" s="20" t="str">
        <f>+'County Data'!$B$32</f>
        <v>Malheur</v>
      </c>
      <c r="C40" s="15">
        <f>VLOOKUP($B40,'County Data'!$B$10:$L$46,2,FALSE)</f>
        <v>31925</v>
      </c>
      <c r="D40" s="29">
        <f>VLOOKUP($B40,'County Data'!$B$10:$L$46,7,FALSE)</f>
        <v>0.38200000000000001</v>
      </c>
      <c r="E40" s="31">
        <f t="shared" si="0"/>
        <v>12195.35</v>
      </c>
      <c r="F40" s="6">
        <f t="shared" si="1"/>
        <v>1.1938055361343229E-2</v>
      </c>
      <c r="G40" s="14">
        <f t="shared" si="2"/>
        <v>425.79064122124174</v>
      </c>
      <c r="H40" s="10">
        <f t="shared" si="3"/>
        <v>1.3337216639663014E-2</v>
      </c>
    </row>
    <row r="41" spans="2:8">
      <c r="B41" s="4" t="s">
        <v>2</v>
      </c>
      <c r="C41" s="5">
        <f>SUM(C7:C40)</f>
        <v>4195300</v>
      </c>
      <c r="D41" s="5"/>
      <c r="E41" s="5">
        <f>SUM(E7:E40)</f>
        <v>1021552.4749106056</v>
      </c>
      <c r="F41" s="8">
        <f>SUM(F7:F40)</f>
        <v>1</v>
      </c>
      <c r="G41" s="11">
        <f>SUM(G7:G40)</f>
        <v>35666.66666666665</v>
      </c>
      <c r="H41" s="12">
        <f>G41/C41</f>
        <v>8.5015771617444873E-3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6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8">
      <c r="B3" t="s">
        <v>0</v>
      </c>
      <c r="C3" s="1">
        <f>'County Data'!C5</f>
        <v>800000</v>
      </c>
    </row>
    <row r="4" spans="2:8">
      <c r="B4" t="s">
        <v>41</v>
      </c>
      <c r="C4" s="14">
        <f>'County Data'!J9</f>
        <v>35666.666666666657</v>
      </c>
      <c r="D4" s="9"/>
    </row>
    <row r="6" spans="2:8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>
      <c r="B7" s="20" t="str">
        <f>+'County Data'!$B$11</f>
        <v>Benton</v>
      </c>
      <c r="C7" s="15">
        <f>VLOOKUP($B7,'County Data'!$B$10:$L$46,2,FALSE)</f>
        <v>93590</v>
      </c>
      <c r="D7" s="29">
        <f>VLOOKUP($B7,'County Data'!$B$10:$L$46,9,FALSE)</f>
        <v>4.5999999999999999E-2</v>
      </c>
      <c r="E7" s="31">
        <f t="shared" ref="E7:E40" si="0">C7*D7</f>
        <v>4305.1400000000003</v>
      </c>
      <c r="F7" s="6">
        <f t="shared" ref="F7:F40" si="1">E7/$E$41</f>
        <v>1.0461207503513759E-2</v>
      </c>
      <c r="G7" s="14">
        <f t="shared" ref="G7:G40" si="2">$C$4*F7</f>
        <v>373.11640095865727</v>
      </c>
      <c r="H7" s="10">
        <f t="shared" ref="H7:H40" si="3">G7/C7</f>
        <v>3.9867122658260208E-3</v>
      </c>
    </row>
    <row r="8" spans="2:8">
      <c r="B8" s="20" t="str">
        <f>+'County Data'!$B$12</f>
        <v>Clackamas</v>
      </c>
      <c r="C8" s="15">
        <f>VLOOKUP($B8,'County Data'!$B$10:$L$46,2,FALSE)</f>
        <v>419425</v>
      </c>
      <c r="D8" s="29">
        <f>VLOOKUP($B8,'County Data'!$B$10:$L$46,9,FALSE)</f>
        <v>6.8000000000000005E-2</v>
      </c>
      <c r="E8" s="31">
        <f t="shared" si="0"/>
        <v>28520.9</v>
      </c>
      <c r="F8" s="6">
        <f t="shared" si="1"/>
        <v>6.9303914178624984E-2</v>
      </c>
      <c r="G8" s="14">
        <f t="shared" si="2"/>
        <v>2471.8396057042905</v>
      </c>
      <c r="H8" s="10">
        <f t="shared" si="3"/>
        <v>5.8934007407862917E-3</v>
      </c>
    </row>
    <row r="9" spans="2:8">
      <c r="B9" s="20" t="str">
        <f>+'County Data'!$B$42</f>
        <v>Wallowa</v>
      </c>
      <c r="C9" s="15">
        <f>VLOOKUP($B9,'County Data'!$B$10:$L$46,2,FALSE)</f>
        <v>7175</v>
      </c>
      <c r="D9" s="29">
        <f>VLOOKUP($B9,'County Data'!$B$10:$L$46,9,FALSE)</f>
        <v>7.0999999999999994E-2</v>
      </c>
      <c r="E9" s="31">
        <f t="shared" si="0"/>
        <v>509.42499999999995</v>
      </c>
      <c r="F9" s="6">
        <f t="shared" si="1"/>
        <v>1.2378692986703094E-3</v>
      </c>
      <c r="G9" s="14">
        <f t="shared" si="2"/>
        <v>44.150671652574353</v>
      </c>
      <c r="H9" s="10">
        <f t="shared" si="3"/>
        <v>6.1534037146445094E-3</v>
      </c>
    </row>
    <row r="10" spans="2:8">
      <c r="B10" s="20" t="str">
        <f>+'County Data'!$B$18</f>
        <v>Deschutes</v>
      </c>
      <c r="C10" s="15">
        <f>VLOOKUP($B10,'County Data'!$B$10:$L$46,2,FALSE)</f>
        <v>188980</v>
      </c>
      <c r="D10" s="29">
        <f>VLOOKUP($B10,'County Data'!$B$10:$L$46,9,FALSE)</f>
        <v>6.5000000000000002E-2</v>
      </c>
      <c r="E10" s="31">
        <f t="shared" si="0"/>
        <v>12283.7</v>
      </c>
      <c r="F10" s="6">
        <f t="shared" si="1"/>
        <v>2.9848584392357033E-2</v>
      </c>
      <c r="G10" s="14">
        <f t="shared" si="2"/>
        <v>1064.5995099940671</v>
      </c>
      <c r="H10" s="10">
        <f t="shared" si="3"/>
        <v>5.6333977669280723E-3</v>
      </c>
    </row>
    <row r="11" spans="2:8">
      <c r="B11" s="20" t="str">
        <f>+'County Data'!$B$41</f>
        <v>Union</v>
      </c>
      <c r="C11" s="15">
        <f>VLOOKUP($B11,'County Data'!$B$10:$L$46,2,FALSE)</f>
        <v>26885</v>
      </c>
      <c r="D11" s="29">
        <f>VLOOKUP($B11,'County Data'!$B$10:$L$46,9,FALSE)</f>
        <v>7.2999999999999995E-2</v>
      </c>
      <c r="E11" s="31">
        <f t="shared" si="0"/>
        <v>1962.6049999999998</v>
      </c>
      <c r="F11" s="6">
        <f t="shared" si="1"/>
        <v>4.7690012757851353E-3</v>
      </c>
      <c r="G11" s="14">
        <f t="shared" si="2"/>
        <v>170.09437883633646</v>
      </c>
      <c r="H11" s="10">
        <f t="shared" si="3"/>
        <v>6.3267390305499892E-3</v>
      </c>
    </row>
    <row r="12" spans="2:8">
      <c r="B12" s="20" t="str">
        <f>+'County Data'!$B$13</f>
        <v>Clatsop</v>
      </c>
      <c r="C12" s="15">
        <f>VLOOKUP($B12,'County Data'!$B$10:$L$46,2,FALSE)</f>
        <v>39200</v>
      </c>
      <c r="D12" s="29">
        <f>VLOOKUP($B12,'County Data'!$B$10:$L$46,9,FALSE)</f>
        <v>8.5000000000000006E-2</v>
      </c>
      <c r="E12" s="31">
        <f t="shared" si="0"/>
        <v>3332.0000000000005</v>
      </c>
      <c r="F12" s="6">
        <f t="shared" si="1"/>
        <v>8.0965412046316368E-3</v>
      </c>
      <c r="G12" s="14">
        <f t="shared" si="2"/>
        <v>288.77663629852827</v>
      </c>
      <c r="H12" s="10">
        <f t="shared" si="3"/>
        <v>7.3667509259828642E-3</v>
      </c>
    </row>
    <row r="13" spans="2:8">
      <c r="B13" s="20" t="str">
        <f>'County Data'!$B$45</f>
        <v>Wheeler</v>
      </c>
      <c r="C13" s="15">
        <f>VLOOKUP($B13,'County Data'!$B$10:$L$46,2,FALSE)</f>
        <v>1450</v>
      </c>
      <c r="D13" s="29">
        <f>VLOOKUP($B13,'County Data'!$B$10:$L$46,9,FALSE)</f>
        <v>7.0999999999999994E-2</v>
      </c>
      <c r="E13" s="31">
        <f t="shared" si="0"/>
        <v>102.94999999999999</v>
      </c>
      <c r="F13" s="6">
        <f t="shared" si="1"/>
        <v>2.5016173980096842E-4</v>
      </c>
      <c r="G13" s="14">
        <f t="shared" si="2"/>
        <v>8.9224353862345378</v>
      </c>
      <c r="H13" s="10">
        <f t="shared" si="3"/>
        <v>6.1534037146445085E-3</v>
      </c>
    </row>
    <row r="14" spans="2:8">
      <c r="B14" s="20" t="str">
        <f>+'County Data'!$B$29</f>
        <v>Lane</v>
      </c>
      <c r="C14" s="15">
        <f>VLOOKUP($B14,'County Data'!$B$10:$L$46,2,FALSE)</f>
        <v>375120</v>
      </c>
      <c r="D14" s="29">
        <f>VLOOKUP($B14,'County Data'!$B$10:$L$46,9,FALSE)</f>
        <v>8.5000000000000006E-2</v>
      </c>
      <c r="E14" s="31">
        <f t="shared" si="0"/>
        <v>31885.200000000001</v>
      </c>
      <c r="F14" s="6">
        <f t="shared" si="1"/>
        <v>7.7478942262281109E-2</v>
      </c>
      <c r="G14" s="14">
        <f t="shared" si="2"/>
        <v>2763.4156073546919</v>
      </c>
      <c r="H14" s="10">
        <f t="shared" si="3"/>
        <v>7.3667509259828642E-3</v>
      </c>
    </row>
    <row r="15" spans="2:8">
      <c r="B15" s="20" t="str">
        <f>+'County Data'!$B$37</f>
        <v>Polk</v>
      </c>
      <c r="C15" s="15">
        <f>VLOOKUP($B15,'County Data'!$B$10:$L$46,2,FALSE)</f>
        <v>82100</v>
      </c>
      <c r="D15" s="29">
        <f>VLOOKUP($B15,'County Data'!$B$10:$L$46,9,FALSE)</f>
        <v>9.2999999999999999E-2</v>
      </c>
      <c r="E15" s="31">
        <f t="shared" si="0"/>
        <v>7635.3</v>
      </c>
      <c r="F15" s="6">
        <f t="shared" si="1"/>
        <v>1.8553277628968766E-2</v>
      </c>
      <c r="G15" s="14">
        <f t="shared" si="2"/>
        <v>661.73356876655248</v>
      </c>
      <c r="H15" s="10">
        <f t="shared" si="3"/>
        <v>8.0600921896047811E-3</v>
      </c>
    </row>
    <row r="16" spans="2:8">
      <c r="B16" s="20" t="str">
        <f>+'County Data'!$B$44</f>
        <v>Washington</v>
      </c>
      <c r="C16" s="15">
        <f>VLOOKUP($B16,'County Data'!$B$10:$L$46,2,FALSE)</f>
        <v>606280</v>
      </c>
      <c r="D16" s="29">
        <f>VLOOKUP($B16,'County Data'!$B$10:$L$46,9,FALSE)</f>
        <v>8.6999999999999994E-2</v>
      </c>
      <c r="E16" s="31">
        <f t="shared" si="0"/>
        <v>52746.359999999993</v>
      </c>
      <c r="F16" s="6">
        <f t="shared" si="1"/>
        <v>0.12817019121678688</v>
      </c>
      <c r="G16" s="14">
        <f t="shared" si="2"/>
        <v>4571.4034867320643</v>
      </c>
      <c r="H16" s="10">
        <f t="shared" si="3"/>
        <v>7.5400862418883424E-3</v>
      </c>
    </row>
    <row r="17" spans="2:8">
      <c r="B17" s="20" t="str">
        <f>+'County Data'!$B$35</f>
        <v>Multnomah</v>
      </c>
      <c r="C17" s="15">
        <f>VLOOKUP($B17,'County Data'!$B$10:$L$46,2,FALSE)</f>
        <v>813300</v>
      </c>
      <c r="D17" s="29">
        <f>VLOOKUP($B17,'County Data'!$B$10:$L$46,9,FALSE)</f>
        <v>0.09</v>
      </c>
      <c r="E17" s="31">
        <f t="shared" si="0"/>
        <v>73197</v>
      </c>
      <c r="F17" s="6">
        <f t="shared" si="1"/>
        <v>0.17786390352803777</v>
      </c>
      <c r="G17" s="14">
        <f t="shared" si="2"/>
        <v>6343.8125591666785</v>
      </c>
      <c r="H17" s="10">
        <f t="shared" si="3"/>
        <v>7.8000892157465617E-3</v>
      </c>
    </row>
    <row r="18" spans="2:8">
      <c r="B18" s="20" t="str">
        <f>+'County Data'!$B$10</f>
        <v>Baker</v>
      </c>
      <c r="C18" s="15">
        <f>VLOOKUP($B18,'County Data'!$B$10:$L$46,2,FALSE)</f>
        <v>16765</v>
      </c>
      <c r="D18" s="29">
        <f>VLOOKUP($B18,'County Data'!$B$10:$L$46,9,FALSE)</f>
        <v>9.9000000000000005E-2</v>
      </c>
      <c r="E18" s="31">
        <f t="shared" si="0"/>
        <v>1659.7350000000001</v>
      </c>
      <c r="F18" s="6">
        <f t="shared" si="1"/>
        <v>4.0330470637062691E-3</v>
      </c>
      <c r="G18" s="14">
        <f t="shared" si="2"/>
        <v>143.84534527219023</v>
      </c>
      <c r="H18" s="10">
        <f t="shared" si="3"/>
        <v>8.5800981373212182E-3</v>
      </c>
    </row>
    <row r="19" spans="2:8">
      <c r="B19" s="20" t="str">
        <f>+'County Data'!$B$14</f>
        <v>Columbia</v>
      </c>
      <c r="C19" s="15">
        <f>VLOOKUP($B19,'County Data'!$B$10:$L$46,2,FALSE)</f>
        <v>51900</v>
      </c>
      <c r="D19" s="29">
        <f>VLOOKUP($B19,'County Data'!$B$10:$L$46,9,FALSE)</f>
        <v>9.5000000000000001E-2</v>
      </c>
      <c r="E19" s="31">
        <f t="shared" si="0"/>
        <v>4930.5</v>
      </c>
      <c r="F19" s="6">
        <f t="shared" si="1"/>
        <v>1.1980791239326615E-2</v>
      </c>
      <c r="G19" s="14">
        <f t="shared" si="2"/>
        <v>427.31488753598251</v>
      </c>
      <c r="H19" s="10">
        <f t="shared" si="3"/>
        <v>8.2334275055102601E-3</v>
      </c>
    </row>
    <row r="20" spans="2:8">
      <c r="B20" s="20" t="str">
        <f>+'County Data'!$B$39</f>
        <v>Tillamook</v>
      </c>
      <c r="C20" s="15">
        <f>VLOOKUP($B20,'County Data'!$B$10:$L$46,2,FALSE)</f>
        <v>26395</v>
      </c>
      <c r="D20" s="29">
        <f>VLOOKUP($B20,'County Data'!$B$10:$L$46,9,FALSE)</f>
        <v>0.10100000000000001</v>
      </c>
      <c r="E20" s="31">
        <f t="shared" si="0"/>
        <v>2665.895</v>
      </c>
      <c r="F20" s="6">
        <f t="shared" si="1"/>
        <v>6.4779497943341698E-3</v>
      </c>
      <c r="G20" s="14">
        <f t="shared" si="2"/>
        <v>231.04687599791865</v>
      </c>
      <c r="H20" s="10">
        <f t="shared" si="3"/>
        <v>8.7534334532266955E-3</v>
      </c>
    </row>
    <row r="21" spans="2:8">
      <c r="B21" s="20" t="str">
        <f>+'County Data'!$B$17</f>
        <v>Curry</v>
      </c>
      <c r="C21" s="15">
        <f>VLOOKUP($B21,'County Data'!$B$10:$L$46,2,FALSE)</f>
        <v>22915</v>
      </c>
      <c r="D21" s="29">
        <f>VLOOKUP($B21,'County Data'!$B$10:$L$46,9,FALSE)</f>
        <v>0.10100000000000001</v>
      </c>
      <c r="E21" s="31">
        <f t="shared" si="0"/>
        <v>2314.415</v>
      </c>
      <c r="F21" s="6">
        <f t="shared" si="1"/>
        <v>5.6238764742249482E-3</v>
      </c>
      <c r="G21" s="14">
        <f t="shared" si="2"/>
        <v>200.58492758068977</v>
      </c>
      <c r="H21" s="10">
        <f t="shared" si="3"/>
        <v>8.7534334532266972E-3</v>
      </c>
    </row>
    <row r="22" spans="2:8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Data'!$B$10:$L$46,9,FALSE)</f>
        <v>9.8000000000000004E-2</v>
      </c>
      <c r="E22" s="31">
        <f t="shared" si="0"/>
        <v>12306.35</v>
      </c>
      <c r="F22" s="6">
        <f t="shared" si="1"/>
        <v>2.990362240504758E-2</v>
      </c>
      <c r="G22" s="14">
        <f t="shared" si="2"/>
        <v>1066.5625324466967</v>
      </c>
      <c r="H22" s="10">
        <f t="shared" si="3"/>
        <v>8.4934304793684787E-3</v>
      </c>
    </row>
    <row r="23" spans="2:8">
      <c r="B23" s="20" t="str">
        <f>+'County Data'!$B$21</f>
        <v>Grant</v>
      </c>
      <c r="C23" s="15">
        <f>VLOOKUP($B23,'County Data'!$B$10:$L$46,2,FALSE)</f>
        <v>7400</v>
      </c>
      <c r="D23" s="29">
        <f>VLOOKUP($B23,'County Data'!$B$10:$L$46,9,FALSE)</f>
        <v>0.10199999999999999</v>
      </c>
      <c r="E23" s="31">
        <f t="shared" si="0"/>
        <v>754.8</v>
      </c>
      <c r="F23" s="6">
        <f t="shared" si="1"/>
        <v>1.8341144361512481E-3</v>
      </c>
      <c r="G23" s="14">
        <f t="shared" si="2"/>
        <v>65.416748222727833</v>
      </c>
      <c r="H23" s="10">
        <f t="shared" si="3"/>
        <v>8.8401011111794367E-3</v>
      </c>
    </row>
    <row r="24" spans="2:8">
      <c r="B24" s="20" t="str">
        <f>+'County Data'!$B$22</f>
        <v>Harney</v>
      </c>
      <c r="C24" s="15">
        <f>VLOOKUP($B24,'County Data'!$B$10:$L$46,2,FALSE)</f>
        <v>7380</v>
      </c>
      <c r="D24" s="29">
        <f>VLOOKUP($B24,'County Data'!$B$10:$L$46,9,FALSE)</f>
        <v>0.10299999999999999</v>
      </c>
      <c r="E24" s="31">
        <f t="shared" si="0"/>
        <v>760.14</v>
      </c>
      <c r="F24" s="6">
        <f t="shared" si="1"/>
        <v>1.8470902855008079E-3</v>
      </c>
      <c r="G24" s="14">
        <f t="shared" si="2"/>
        <v>65.879553516195458</v>
      </c>
      <c r="H24" s="10">
        <f t="shared" si="3"/>
        <v>8.9267687691321762E-3</v>
      </c>
    </row>
    <row r="25" spans="2:8">
      <c r="B25" s="20" t="str">
        <f>+'County Data'!$B$30</f>
        <v>Lincoln</v>
      </c>
      <c r="C25" s="15">
        <f>VLOOKUP($B25,'County Data'!$B$10:$L$46,2,FALSE)</f>
        <v>48210</v>
      </c>
      <c r="D25" s="29">
        <f>VLOOKUP($B25,'County Data'!$B$10:$L$46,9,FALSE)</f>
        <v>0.106</v>
      </c>
      <c r="E25" s="31">
        <f t="shared" si="0"/>
        <v>5110.26</v>
      </c>
      <c r="F25" s="6">
        <f t="shared" si="1"/>
        <v>1.2417596235408423E-2</v>
      </c>
      <c r="G25" s="14">
        <f t="shared" si="2"/>
        <v>442.894265729567</v>
      </c>
      <c r="H25" s="10">
        <f t="shared" si="3"/>
        <v>9.1867717429903965E-3</v>
      </c>
    </row>
    <row r="26" spans="2:8">
      <c r="B26" s="20" t="str">
        <f>+'County Data'!$B$19</f>
        <v>Douglas</v>
      </c>
      <c r="C26" s="15">
        <f>VLOOKUP($B26,'County Data'!$B$10:$L$46,2,FALSE)</f>
        <v>111735</v>
      </c>
      <c r="D26" s="29">
        <f>VLOOKUP($B26,'County Data'!$B$10:$L$46,9,FALSE)</f>
        <v>0.106</v>
      </c>
      <c r="E26" s="31">
        <f t="shared" si="0"/>
        <v>11843.91</v>
      </c>
      <c r="F26" s="6">
        <f t="shared" si="1"/>
        <v>2.8779923571113048E-2</v>
      </c>
      <c r="G26" s="14">
        <f t="shared" si="2"/>
        <v>1026.4839407030317</v>
      </c>
      <c r="H26" s="10">
        <f t="shared" si="3"/>
        <v>9.1867717429903947E-3</v>
      </c>
    </row>
    <row r="27" spans="2:8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Data'!$B$10:$L$46,9,FALSE)</f>
        <v>0.107</v>
      </c>
      <c r="E27" s="31">
        <f t="shared" si="0"/>
        <v>23454.399999999998</v>
      </c>
      <c r="F27" s="6">
        <f t="shared" si="1"/>
        <v>5.6992651869721557E-2</v>
      </c>
      <c r="G27" s="14">
        <f t="shared" si="2"/>
        <v>2032.7379166867349</v>
      </c>
      <c r="H27" s="10">
        <f t="shared" si="3"/>
        <v>9.2734394009431342E-3</v>
      </c>
    </row>
    <row r="28" spans="2:8">
      <c r="B28" s="20" t="str">
        <f>+'County Data'!$B$15</f>
        <v>Coos</v>
      </c>
      <c r="C28" s="15">
        <f>VLOOKUP($B28,'County Data'!$B$10:$L$46,2,FALSE)</f>
        <v>63275</v>
      </c>
      <c r="D28" s="29">
        <f>VLOOKUP($B28,'County Data'!$B$10:$L$46,9,FALSE)</f>
        <v>0.105</v>
      </c>
      <c r="E28" s="31">
        <f t="shared" si="0"/>
        <v>6643.875</v>
      </c>
      <c r="F28" s="6">
        <f t="shared" si="1"/>
        <v>1.6144179980768912E-2</v>
      </c>
      <c r="G28" s="14">
        <f t="shared" si="2"/>
        <v>575.80908598075769</v>
      </c>
      <c r="H28" s="10">
        <f t="shared" si="3"/>
        <v>9.1001040850376552E-3</v>
      </c>
    </row>
    <row r="29" spans="2:8">
      <c r="B29" s="20" t="str">
        <f>+'County Data'!$B$26</f>
        <v>Josephine</v>
      </c>
      <c r="C29" s="15">
        <f>VLOOKUP($B29,'County Data'!$B$10:$L$46,2,FALSE)</f>
        <v>86395</v>
      </c>
      <c r="D29" s="29">
        <f>VLOOKUP($B29,'County Data'!$B$10:$L$46,9,FALSE)</f>
        <v>0.109</v>
      </c>
      <c r="E29" s="31">
        <f t="shared" si="0"/>
        <v>9417.0550000000003</v>
      </c>
      <c r="F29" s="6">
        <f t="shared" si="1"/>
        <v>2.2882825280246811E-2</v>
      </c>
      <c r="G29" s="14">
        <f t="shared" si="2"/>
        <v>816.15410166213599</v>
      </c>
      <c r="H29" s="10">
        <f t="shared" si="3"/>
        <v>9.4467747168486133E-3</v>
      </c>
    </row>
    <row r="30" spans="2:8">
      <c r="B30" s="20" t="str">
        <f>+'County Data'!$B$46</f>
        <v>Yamhill</v>
      </c>
      <c r="C30" s="15">
        <f>VLOOKUP($B30,'County Data'!$B$10:$L$46,2,FALSE)</f>
        <v>107415</v>
      </c>
      <c r="D30" s="29">
        <f>VLOOKUP($B30,'County Data'!$B$10:$L$46,9,FALSE)</f>
        <v>0.11700000000000001</v>
      </c>
      <c r="E30" s="31">
        <f t="shared" si="0"/>
        <v>12567.555</v>
      </c>
      <c r="F30" s="6">
        <f t="shared" si="1"/>
        <v>3.0538333403053525E-2</v>
      </c>
      <c r="G30" s="14">
        <f t="shared" si="2"/>
        <v>1089.2005580422422</v>
      </c>
      <c r="H30" s="10">
        <f t="shared" si="3"/>
        <v>1.0140115980470531E-2</v>
      </c>
    </row>
    <row r="31" spans="2:8">
      <c r="B31" s="20" t="str">
        <f>+'County Data'!$B$27</f>
        <v>Klamath</v>
      </c>
      <c r="C31" s="15">
        <f>VLOOKUP($B31,'County Data'!$B$10:$L$46,2,FALSE)</f>
        <v>67960</v>
      </c>
      <c r="D31" s="29">
        <f>VLOOKUP($B31,'County Data'!$B$10:$L$46,9,FALSE)</f>
        <v>0.126</v>
      </c>
      <c r="E31" s="31">
        <f t="shared" si="0"/>
        <v>8562.9600000000009</v>
      </c>
      <c r="F31" s="6">
        <f t="shared" si="1"/>
        <v>2.080743051428947E-2</v>
      </c>
      <c r="G31" s="14">
        <f t="shared" si="2"/>
        <v>742.13168834299086</v>
      </c>
      <c r="H31" s="10">
        <f t="shared" si="3"/>
        <v>1.0920124902045187E-2</v>
      </c>
    </row>
    <row r="32" spans="2:8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Data'!$B$10:$L$46,9,FALSE)</f>
        <v>0.121</v>
      </c>
      <c r="E32" s="31">
        <f t="shared" si="0"/>
        <v>2747.91</v>
      </c>
      <c r="F32" s="6">
        <f t="shared" si="1"/>
        <v>6.6772408588293272E-3</v>
      </c>
      <c r="G32" s="14">
        <f t="shared" si="2"/>
        <v>238.1549239649126</v>
      </c>
      <c r="H32" s="10">
        <f t="shared" si="3"/>
        <v>1.0486786612281489E-2</v>
      </c>
    </row>
    <row r="33" spans="2:8">
      <c r="B33" s="20" t="str">
        <f>+'County Data'!$B$36</f>
        <v>Gilliam, Sherman, Wasco</v>
      </c>
      <c r="C33" s="15">
        <f>VLOOKUP($B33,'County Data'!$B$10:$L$46,2,FALSE)</f>
        <v>30970</v>
      </c>
      <c r="D33" s="29">
        <f>VLOOKUP($B33,'County Data'!$B$10:$L$46,9,FALSE)</f>
        <v>0.13184031158714704</v>
      </c>
      <c r="E33" s="31">
        <f t="shared" si="0"/>
        <v>4083.0944498539438</v>
      </c>
      <c r="F33" s="6">
        <f t="shared" si="1"/>
        <v>9.9216513972524602E-3</v>
      </c>
      <c r="G33" s="14">
        <f t="shared" si="2"/>
        <v>353.87223316867096</v>
      </c>
      <c r="H33" s="10">
        <f t="shared" si="3"/>
        <v>1.1426291029017467E-2</v>
      </c>
    </row>
    <row r="34" spans="2:8">
      <c r="B34" s="20" t="str">
        <f>+'County Data'!$B$33</f>
        <v>Marion</v>
      </c>
      <c r="C34" s="15">
        <f>VLOOKUP($B34,'County Data'!$B$10:$L$46,2,FALSE)</f>
        <v>344035</v>
      </c>
      <c r="D34" s="29">
        <f>VLOOKUP($B34,'County Data'!$B$10:$L$46,9,FALSE)</f>
        <v>0.151</v>
      </c>
      <c r="E34" s="31">
        <f t="shared" si="0"/>
        <v>51949.284999999996</v>
      </c>
      <c r="F34" s="6">
        <f t="shared" si="1"/>
        <v>0.12623335130661828</v>
      </c>
      <c r="G34" s="14">
        <f t="shared" si="2"/>
        <v>4502.3228632693845</v>
      </c>
      <c r="H34" s="10">
        <f t="shared" si="3"/>
        <v>1.3086816350863674E-2</v>
      </c>
    </row>
    <row r="35" spans="2:8">
      <c r="B35" s="20" t="str">
        <f>+'County Data'!$B$28</f>
        <v>Lake</v>
      </c>
      <c r="C35" s="15">
        <f>VLOOKUP($B35,'County Data'!$B$10:$L$46,2,FALSE)</f>
        <v>8115</v>
      </c>
      <c r="D35" s="29">
        <f>VLOOKUP($B35,'County Data'!$B$10:$L$46,9,FALSE)</f>
        <v>0.153</v>
      </c>
      <c r="E35" s="31">
        <f t="shared" si="0"/>
        <v>1241.595</v>
      </c>
      <c r="F35" s="6">
        <f t="shared" si="1"/>
        <v>3.0169943208177121E-3</v>
      </c>
      <c r="G35" s="14">
        <f t="shared" si="2"/>
        <v>107.6061307758317</v>
      </c>
      <c r="H35" s="10">
        <f t="shared" si="3"/>
        <v>1.3260151666769157E-2</v>
      </c>
    </row>
    <row r="36" spans="2:8">
      <c r="B36" s="20" t="str">
        <f>+'County Data'!$B$25</f>
        <v>Jefferson</v>
      </c>
      <c r="C36" s="15">
        <f>VLOOKUP($B36,'County Data'!$B$10:$L$46,2,FALSE)</f>
        <v>23560</v>
      </c>
      <c r="D36" s="29">
        <f>VLOOKUP($B36,'County Data'!$B$10:$L$46,9,FALSE)</f>
        <v>0.14299999999999999</v>
      </c>
      <c r="E36" s="31">
        <f t="shared" si="0"/>
        <v>3369.08</v>
      </c>
      <c r="F36" s="6">
        <f t="shared" si="1"/>
        <v>8.1866431697780167E-3</v>
      </c>
      <c r="G36" s="14">
        <f t="shared" si="2"/>
        <v>291.99027305541586</v>
      </c>
      <c r="H36" s="10">
        <f t="shared" si="3"/>
        <v>1.239347508724176E-2</v>
      </c>
    </row>
    <row r="37" spans="2:8">
      <c r="B37" s="20" t="str">
        <f>+'County Data'!$B$40</f>
        <v>Umatilla</v>
      </c>
      <c r="C37" s="15">
        <f>VLOOKUP($B37,'County Data'!$B$10:$L$46,2,FALSE)</f>
        <v>80765</v>
      </c>
      <c r="D37" s="29">
        <f>VLOOKUP($B37,'County Data'!$B$10:$L$46,9,FALSE)</f>
        <v>0.18</v>
      </c>
      <c r="E37" s="31">
        <f t="shared" si="0"/>
        <v>14537.699999999999</v>
      </c>
      <c r="F37" s="6">
        <f t="shared" si="1"/>
        <v>3.5325656383725486E-2</v>
      </c>
      <c r="G37" s="14">
        <f t="shared" si="2"/>
        <v>1259.9484110195419</v>
      </c>
      <c r="H37" s="10">
        <f t="shared" si="3"/>
        <v>1.5600178431493122E-2</v>
      </c>
    </row>
    <row r="38" spans="2:8">
      <c r="B38" s="20" t="str">
        <f>+'County Data'!$B$23</f>
        <v>Hood River</v>
      </c>
      <c r="C38" s="15">
        <f>VLOOKUP($B38,'County Data'!$B$10:$L$46,2,FALSE)</f>
        <v>25310</v>
      </c>
      <c r="D38" s="29">
        <f>VLOOKUP($B38,'County Data'!$B$10:$L$46,9,FALSE)</f>
        <v>0.20399999999999999</v>
      </c>
      <c r="E38" s="31">
        <f t="shared" si="0"/>
        <v>5163.24</v>
      </c>
      <c r="F38" s="6">
        <f t="shared" si="1"/>
        <v>1.2546334156483267E-2</v>
      </c>
      <c r="G38" s="14">
        <f t="shared" si="2"/>
        <v>447.48591824790304</v>
      </c>
      <c r="H38" s="10">
        <f t="shared" si="3"/>
        <v>1.7680202222358873E-2</v>
      </c>
    </row>
    <row r="39" spans="2:8">
      <c r="B39" s="20" t="str">
        <f>+'County Data'!$B$32</f>
        <v>Malheur</v>
      </c>
      <c r="C39" s="15">
        <f>VLOOKUP($B39,'County Data'!$B$10:$L$46,2,FALSE)</f>
        <v>31925</v>
      </c>
      <c r="D39" s="29">
        <f>VLOOKUP($B39,'County Data'!$B$10:$L$46,9,FALSE)</f>
        <v>0.189</v>
      </c>
      <c r="E39" s="31">
        <f t="shared" si="0"/>
        <v>6033.8249999999998</v>
      </c>
      <c r="F39" s="6">
        <f t="shared" si="1"/>
        <v>1.4661798539626795E-2</v>
      </c>
      <c r="G39" s="14">
        <f t="shared" si="2"/>
        <v>522.93748124668889</v>
      </c>
      <c r="H39" s="10">
        <f t="shared" si="3"/>
        <v>1.6380187353067781E-2</v>
      </c>
    </row>
    <row r="40" spans="2:8">
      <c r="B40" s="20" t="str">
        <f>+'County Data'!$B$34</f>
        <v>Morrow</v>
      </c>
      <c r="C40" s="15">
        <f>VLOOKUP($B40,'County Data'!$B$10:$L$46,2,FALSE)</f>
        <v>11885</v>
      </c>
      <c r="D40" s="29">
        <f>VLOOKUP($B40,'County Data'!$B$10:$L$46,9,FALSE)</f>
        <v>0.247</v>
      </c>
      <c r="E40" s="31">
        <f t="shared" si="0"/>
        <v>2935.5949999999998</v>
      </c>
      <c r="F40" s="6">
        <f t="shared" si="1"/>
        <v>7.1333030845169886E-3</v>
      </c>
      <c r="G40" s="14">
        <f t="shared" si="2"/>
        <v>254.42114334777253</v>
      </c>
      <c r="H40" s="10">
        <f t="shared" si="3"/>
        <v>2.1406911514326676E-2</v>
      </c>
    </row>
    <row r="41" spans="2:8">
      <c r="B41" s="4" t="s">
        <v>2</v>
      </c>
      <c r="C41" s="5">
        <f>SUM(C6:C40)</f>
        <v>4195300</v>
      </c>
      <c r="D41" s="5"/>
      <c r="E41" s="5">
        <f>SUM(E6:E40)</f>
        <v>411533.75444985391</v>
      </c>
      <c r="F41" s="8">
        <f>SUM(F6:F40)</f>
        <v>0.99999999999999989</v>
      </c>
      <c r="G41" s="11">
        <f>SUM(G6:G40)</f>
        <v>35666.666666666664</v>
      </c>
      <c r="H41" s="12">
        <f>G41/C41</f>
        <v>8.5015771617444908E-3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6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  <col min="10" max="10" width="10.5" bestFit="1" customWidth="1"/>
  </cols>
  <sheetData>
    <row r="3" spans="2:10">
      <c r="B3" t="s">
        <v>0</v>
      </c>
      <c r="C3" s="1">
        <f>'County Data'!C5</f>
        <v>800000</v>
      </c>
    </row>
    <row r="4" spans="2:10">
      <c r="B4" t="s">
        <v>41</v>
      </c>
      <c r="C4" s="14">
        <f>'County Data'!K9</f>
        <v>71333.333333333314</v>
      </c>
      <c r="D4" s="9"/>
    </row>
    <row r="6" spans="2:10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>
      <c r="B7" s="20" t="str">
        <f>'County Data'!$B$45</f>
        <v>Wheeler</v>
      </c>
      <c r="C7" s="15">
        <f>VLOOKUP($B7,'County Data'!$B$10:$L$46,2,FALSE)</f>
        <v>1450</v>
      </c>
      <c r="D7" s="29">
        <f>VLOOKUP($B7,'County Data'!$B$10:$L$46,10,FALSE)</f>
        <v>1E-3</v>
      </c>
      <c r="E7" s="31">
        <f t="shared" ref="E7:E40" si="0">C7*D7</f>
        <v>1.45</v>
      </c>
      <c r="F7" s="6">
        <f t="shared" ref="F7:F40" si="1">E7/$E$41</f>
        <v>5.8552116972424918E-6</v>
      </c>
      <c r="G7" s="14">
        <f t="shared" ref="G7:G40" si="2">$C$4*F7</f>
        <v>0.41767176773663095</v>
      </c>
      <c r="H7" s="10">
        <f t="shared" ref="H7:H40" si="3">G7/C7</f>
        <v>2.8804949499077999E-4</v>
      </c>
      <c r="J7" s="32"/>
    </row>
    <row r="8" spans="2:10">
      <c r="B8" s="20" t="str">
        <f>+'County Data'!$B$16</f>
        <v>Crook</v>
      </c>
      <c r="C8" s="15">
        <f>VLOOKUP($B8,'County Data'!$B$10:$L$46,2,FALSE)</f>
        <v>22710</v>
      </c>
      <c r="D8" s="29">
        <f>VLOOKUP($B8,'County Data'!$B$10:$L$46,10,FALSE)</f>
        <v>1.2E-2</v>
      </c>
      <c r="E8" s="31">
        <f t="shared" si="0"/>
        <v>272.52</v>
      </c>
      <c r="F8" s="6">
        <f t="shared" si="1"/>
        <v>1.100456752918982E-3</v>
      </c>
      <c r="G8" s="14">
        <f t="shared" si="2"/>
        <v>78.499248374887358</v>
      </c>
      <c r="H8" s="10">
        <f t="shared" si="3"/>
        <v>3.4565939398893595E-3</v>
      </c>
      <c r="J8" s="32"/>
    </row>
    <row r="9" spans="2:10">
      <c r="B9" s="20" t="str">
        <f>+'County Data'!$B$42</f>
        <v>Wallowa</v>
      </c>
      <c r="C9" s="15">
        <f>VLOOKUP($B9,'County Data'!$B$10:$L$46,2,FALSE)</f>
        <v>7175</v>
      </c>
      <c r="D9" s="29">
        <f>VLOOKUP($B9,'County Data'!$B$10:$L$46,10,FALSE)</f>
        <v>8.9999999999999993E-3</v>
      </c>
      <c r="E9" s="31">
        <f t="shared" si="0"/>
        <v>64.574999999999989</v>
      </c>
      <c r="F9" s="6">
        <f t="shared" si="1"/>
        <v>2.6075882437891988E-4</v>
      </c>
      <c r="G9" s="14">
        <f t="shared" si="2"/>
        <v>18.600796139029612</v>
      </c>
      <c r="H9" s="10">
        <f t="shared" si="3"/>
        <v>2.5924454549170191E-3</v>
      </c>
      <c r="J9" s="32"/>
    </row>
    <row r="10" spans="2:10">
      <c r="B10" s="20" t="str">
        <f>+'County Data'!$B$21</f>
        <v>Grant</v>
      </c>
      <c r="C10" s="15">
        <f>VLOOKUP($B10,'County Data'!$B$10:$L$46,2,FALSE)</f>
        <v>7400</v>
      </c>
      <c r="D10" s="29">
        <f>VLOOKUP($B10,'County Data'!$B$10:$L$46,10,FALSE)</f>
        <v>1.0999999999999999E-2</v>
      </c>
      <c r="E10" s="31">
        <f t="shared" si="0"/>
        <v>81.399999999999991</v>
      </c>
      <c r="F10" s="6">
        <f t="shared" si="1"/>
        <v>3.2869947045209574E-4</v>
      </c>
      <c r="G10" s="14">
        <f t="shared" si="2"/>
        <v>23.447228892249491</v>
      </c>
      <c r="H10" s="10">
        <f t="shared" si="3"/>
        <v>3.1685444448985799E-3</v>
      </c>
      <c r="J10" s="32"/>
    </row>
    <row r="11" spans="2:10">
      <c r="B11" s="20" t="str">
        <f>+'County Data'!$B$10</f>
        <v>Baker</v>
      </c>
      <c r="C11" s="15">
        <f>VLOOKUP($B11,'County Data'!$B$10:$L$46,2,FALSE)</f>
        <v>16765</v>
      </c>
      <c r="D11" s="29">
        <f>VLOOKUP($B11,'County Data'!$B$10:$L$46,10,FALSE)</f>
        <v>1.2999999999999999E-2</v>
      </c>
      <c r="E11" s="31">
        <f t="shared" si="0"/>
        <v>217.94499999999999</v>
      </c>
      <c r="F11" s="6">
        <f t="shared" si="1"/>
        <v>8.8007869886587236E-4</v>
      </c>
      <c r="G11" s="14">
        <f t="shared" si="2"/>
        <v>62.778947185765546</v>
      </c>
      <c r="H11" s="10">
        <f t="shared" si="3"/>
        <v>3.7446434348801399E-3</v>
      </c>
      <c r="J11" s="32"/>
    </row>
    <row r="12" spans="2:10">
      <c r="B12" s="20" t="str">
        <f>+'County Data'!$B$19</f>
        <v>Douglas</v>
      </c>
      <c r="C12" s="15">
        <f>VLOOKUP($B12,'County Data'!$B$10:$L$46,2,FALSE)</f>
        <v>111735</v>
      </c>
      <c r="D12" s="29">
        <f>VLOOKUP($B12,'County Data'!$B$10:$L$46,10,FALSE)</f>
        <v>1.2E-2</v>
      </c>
      <c r="E12" s="31">
        <f t="shared" si="0"/>
        <v>1340.82</v>
      </c>
      <c r="F12" s="6">
        <f t="shared" si="1"/>
        <v>5.4143344468252953E-3</v>
      </c>
      <c r="G12" s="14">
        <f t="shared" si="2"/>
        <v>386.22252387353763</v>
      </c>
      <c r="H12" s="10">
        <f t="shared" si="3"/>
        <v>3.4565939398893599E-3</v>
      </c>
      <c r="J12" s="32"/>
    </row>
    <row r="13" spans="2:10">
      <c r="B13" s="20" t="str">
        <f>+'County Data'!$B$17</f>
        <v>Curry</v>
      </c>
      <c r="C13" s="15">
        <f>VLOOKUP($B13,'County Data'!$B$10:$L$46,2,FALSE)</f>
        <v>22915</v>
      </c>
      <c r="D13" s="29">
        <f>VLOOKUP($B13,'County Data'!$B$10:$L$46,10,FALSE)</f>
        <v>1.4E-2</v>
      </c>
      <c r="E13" s="31">
        <f t="shared" si="0"/>
        <v>320.81</v>
      </c>
      <c r="F13" s="6">
        <f t="shared" si="1"/>
        <v>1.2954554928223199E-3</v>
      </c>
      <c r="G13" s="14">
        <f t="shared" si="2"/>
        <v>92.40915848799213</v>
      </c>
      <c r="H13" s="10">
        <f t="shared" si="3"/>
        <v>4.0326929298709199E-3</v>
      </c>
      <c r="J13" s="32"/>
    </row>
    <row r="14" spans="2:10">
      <c r="B14" s="20" t="str">
        <f>+'County Data'!$B$26</f>
        <v>Josephine</v>
      </c>
      <c r="C14" s="15">
        <f>VLOOKUP($B14,'County Data'!$B$10:$L$46,2,FALSE)</f>
        <v>86395</v>
      </c>
      <c r="D14" s="29">
        <f>VLOOKUP($B14,'County Data'!$B$10:$L$46,10,FALSE)</f>
        <v>1.2999999999999999E-2</v>
      </c>
      <c r="E14" s="31">
        <f t="shared" si="0"/>
        <v>1123.135</v>
      </c>
      <c r="F14" s="6">
        <f t="shared" si="1"/>
        <v>4.5353056479878941E-3</v>
      </c>
      <c r="G14" s="14">
        <f t="shared" si="2"/>
        <v>323.51846955646971</v>
      </c>
      <c r="H14" s="10">
        <f t="shared" si="3"/>
        <v>3.7446434348801403E-3</v>
      </c>
      <c r="J14" s="32"/>
    </row>
    <row r="15" spans="2:10">
      <c r="B15" s="20" t="str">
        <f>+'County Data'!$B$14</f>
        <v>Columbia</v>
      </c>
      <c r="C15" s="15">
        <f>VLOOKUP($B15,'County Data'!$B$10:$L$46,2,FALSE)</f>
        <v>51900</v>
      </c>
      <c r="D15" s="29">
        <f>VLOOKUP($B15,'County Data'!$B$10:$L$46,10,FALSE)</f>
        <v>1.4E-2</v>
      </c>
      <c r="E15" s="31">
        <f t="shared" si="0"/>
        <v>726.6</v>
      </c>
      <c r="F15" s="6">
        <f t="shared" si="1"/>
        <v>2.9340667718733755E-3</v>
      </c>
      <c r="G15" s="14">
        <f t="shared" si="2"/>
        <v>209.29676306030072</v>
      </c>
      <c r="H15" s="10">
        <f t="shared" si="3"/>
        <v>4.032692929870919E-3</v>
      </c>
      <c r="J15" s="32"/>
    </row>
    <row r="16" spans="2:10">
      <c r="B16" s="20" t="str">
        <f>+'County Data'!$B$41</f>
        <v>Union</v>
      </c>
      <c r="C16" s="15">
        <f>VLOOKUP($B16,'County Data'!$B$10:$L$46,2,FALSE)</f>
        <v>26885</v>
      </c>
      <c r="D16" s="29">
        <f>VLOOKUP($B16,'County Data'!$B$10:$L$46,10,FALSE)</f>
        <v>1.7000000000000001E-2</v>
      </c>
      <c r="E16" s="31">
        <f t="shared" si="0"/>
        <v>457.04500000000002</v>
      </c>
      <c r="F16" s="6">
        <f t="shared" si="1"/>
        <v>1.8455829173559964E-3</v>
      </c>
      <c r="G16" s="14">
        <f t="shared" si="2"/>
        <v>131.65158143806104</v>
      </c>
      <c r="H16" s="10">
        <f t="shared" si="3"/>
        <v>4.8968414148432603E-3</v>
      </c>
      <c r="J16" s="32"/>
    </row>
    <row r="17" spans="2:10">
      <c r="B17" s="20" t="str">
        <f>+'County Data'!$B$15</f>
        <v>Coos</v>
      </c>
      <c r="C17" s="15">
        <f>VLOOKUP($B17,'County Data'!$B$10:$L$46,2,FALSE)</f>
        <v>63275</v>
      </c>
      <c r="D17" s="29">
        <f>VLOOKUP($B17,'County Data'!$B$10:$L$46,10,FALSE)</f>
        <v>1.4999999999999999E-2</v>
      </c>
      <c r="E17" s="31">
        <f t="shared" si="0"/>
        <v>949.125</v>
      </c>
      <c r="F17" s="6">
        <f t="shared" si="1"/>
        <v>3.8326398635484689E-3</v>
      </c>
      <c r="G17" s="14">
        <f t="shared" si="2"/>
        <v>273.39497693312404</v>
      </c>
      <c r="H17" s="10">
        <f t="shared" si="3"/>
        <v>4.3207424248616995E-3</v>
      </c>
      <c r="J17" s="32"/>
    </row>
    <row r="18" spans="2:10">
      <c r="B18" s="20" t="str">
        <f>+'County Data'!$B$22</f>
        <v>Harney</v>
      </c>
      <c r="C18" s="15">
        <f>VLOOKUP($B18,'County Data'!$B$10:$L$46,2,FALSE)</f>
        <v>7380</v>
      </c>
      <c r="D18" s="29">
        <f>VLOOKUP($B18,'County Data'!$B$10:$L$46,10,FALSE)</f>
        <v>0.02</v>
      </c>
      <c r="E18" s="31">
        <f t="shared" si="0"/>
        <v>147.6</v>
      </c>
      <c r="F18" s="6">
        <f t="shared" si="1"/>
        <v>5.9602017000895987E-4</v>
      </c>
      <c r="G18" s="14">
        <f t="shared" si="2"/>
        <v>42.516105460639125</v>
      </c>
      <c r="H18" s="10">
        <f t="shared" si="3"/>
        <v>5.7609898998155998E-3</v>
      </c>
      <c r="J18" s="32"/>
    </row>
    <row r="19" spans="2:10">
      <c r="B19" s="20" t="str">
        <f>+'County Data'!$B$18</f>
        <v>Deschutes</v>
      </c>
      <c r="C19" s="15">
        <f>VLOOKUP($B19,'County Data'!$B$10:$L$46,2,FALSE)</f>
        <v>188980</v>
      </c>
      <c r="D19" s="29">
        <f>VLOOKUP($B19,'County Data'!$B$10:$L$46,10,FALSE)</f>
        <v>2.1000000000000001E-2</v>
      </c>
      <c r="E19" s="31">
        <f t="shared" si="0"/>
        <v>3968.5800000000004</v>
      </c>
      <c r="F19" s="6">
        <f t="shared" si="1"/>
        <v>1.602543174996042E-2</v>
      </c>
      <c r="G19" s="14">
        <f t="shared" si="2"/>
        <v>1143.1474648305095</v>
      </c>
      <c r="H19" s="10">
        <f t="shared" si="3"/>
        <v>6.0490393948063794E-3</v>
      </c>
      <c r="J19" s="32"/>
    </row>
    <row r="20" spans="2:10">
      <c r="B20" s="20" t="str">
        <f>+'County Data'!$B$31</f>
        <v>Linn</v>
      </c>
      <c r="C20" s="15">
        <f>VLOOKUP($B20,'County Data'!$B$10:$L$46,2,FALSE)</f>
        <v>125575</v>
      </c>
      <c r="D20" s="29">
        <f>VLOOKUP($B20,'County Data'!$B$10:$L$46,10,FALSE)</f>
        <v>2.1000000000000001E-2</v>
      </c>
      <c r="E20" s="31">
        <f t="shared" si="0"/>
        <v>2637.0750000000003</v>
      </c>
      <c r="F20" s="6">
        <f t="shared" si="1"/>
        <v>1.0648711990693617E-2</v>
      </c>
      <c r="G20" s="14">
        <f t="shared" si="2"/>
        <v>759.60812200281111</v>
      </c>
      <c r="H20" s="10">
        <f t="shared" si="3"/>
        <v>6.0490393948063794E-3</v>
      </c>
      <c r="J20" s="32"/>
    </row>
    <row r="21" spans="2:10">
      <c r="B21" s="20" t="str">
        <f>+'County Data'!$B$39</f>
        <v>Tillamook</v>
      </c>
      <c r="C21" s="15">
        <f>VLOOKUP($B21,'County Data'!$B$10:$L$46,2,FALSE)</f>
        <v>26395</v>
      </c>
      <c r="D21" s="29">
        <f>VLOOKUP($B21,'County Data'!$B$10:$L$46,10,FALSE)</f>
        <v>2.9000000000000001E-2</v>
      </c>
      <c r="E21" s="31">
        <f t="shared" si="0"/>
        <v>765.45500000000004</v>
      </c>
      <c r="F21" s="6">
        <f t="shared" si="1"/>
        <v>3.0909662549743117E-3</v>
      </c>
      <c r="G21" s="14">
        <f t="shared" si="2"/>
        <v>220.48892618816751</v>
      </c>
      <c r="H21" s="10">
        <f t="shared" si="3"/>
        <v>8.3534353547326211E-3</v>
      </c>
      <c r="J21" s="32"/>
    </row>
    <row r="22" spans="2:10">
      <c r="B22" s="20" t="str">
        <f>+'County Data'!$B$28</f>
        <v>Lake</v>
      </c>
      <c r="C22" s="15">
        <f>VLOOKUP($B22,'County Data'!$B$10:$L$46,2,FALSE)</f>
        <v>8115</v>
      </c>
      <c r="D22" s="29">
        <f>VLOOKUP($B22,'County Data'!$B$10:$L$46,10,FALSE)</f>
        <v>1.7999999999999999E-2</v>
      </c>
      <c r="E22" s="31">
        <f t="shared" si="0"/>
        <v>146.07</v>
      </c>
      <c r="F22" s="6">
        <f t="shared" si="1"/>
        <v>5.8984191214911082E-4</v>
      </c>
      <c r="G22" s="14">
        <f t="shared" si="2"/>
        <v>42.075389733303226</v>
      </c>
      <c r="H22" s="10">
        <f t="shared" si="3"/>
        <v>5.184890909834039E-3</v>
      </c>
      <c r="J22" s="32"/>
    </row>
    <row r="23" spans="2:10">
      <c r="B23" s="20" t="str">
        <f>+'County Data'!$B$29</f>
        <v>Lane</v>
      </c>
      <c r="C23" s="15">
        <f>VLOOKUP($B23,'County Data'!$B$10:$L$46,2,FALSE)</f>
        <v>375120</v>
      </c>
      <c r="D23" s="29">
        <f>VLOOKUP($B23,'County Data'!$B$10:$L$46,10,FALSE)</f>
        <v>2.5999999999999999E-2</v>
      </c>
      <c r="E23" s="31">
        <f t="shared" si="0"/>
        <v>9753.119999999999</v>
      </c>
      <c r="F23" s="6">
        <f t="shared" si="1"/>
        <v>3.9383849868006679E-2</v>
      </c>
      <c r="G23" s="14">
        <f t="shared" si="2"/>
        <v>2809.3812905844757</v>
      </c>
      <c r="H23" s="10">
        <f t="shared" si="3"/>
        <v>7.4892868697602781E-3</v>
      </c>
      <c r="J23" s="32"/>
    </row>
    <row r="24" spans="2:10">
      <c r="B24" s="20" t="str">
        <f>+'County Data'!$B$13</f>
        <v>Clatsop</v>
      </c>
      <c r="C24" s="15">
        <f>VLOOKUP($B24,'County Data'!$B$10:$L$46,2,FALSE)</f>
        <v>39200</v>
      </c>
      <c r="D24" s="29">
        <f>VLOOKUP($B24,'County Data'!$B$10:$L$46,10,FALSE)</f>
        <v>2.7E-2</v>
      </c>
      <c r="E24" s="31">
        <f t="shared" si="0"/>
        <v>1058.4000000000001</v>
      </c>
      <c r="F24" s="6">
        <f t="shared" si="1"/>
        <v>4.2739007312837616E-3</v>
      </c>
      <c r="G24" s="14">
        <f t="shared" si="2"/>
        <v>304.87158549824159</v>
      </c>
      <c r="H24" s="10">
        <f t="shared" si="3"/>
        <v>7.7773363647510611E-3</v>
      </c>
      <c r="J24" s="32"/>
    </row>
    <row r="25" spans="2:10">
      <c r="B25" s="20" t="str">
        <f>+'County Data'!$B$27</f>
        <v>Klamath</v>
      </c>
      <c r="C25" s="15">
        <f>VLOOKUP($B25,'County Data'!$B$10:$L$46,2,FALSE)</f>
        <v>67960</v>
      </c>
      <c r="D25" s="29">
        <f>VLOOKUP($B25,'County Data'!$B$10:$L$46,10,FALSE)</f>
        <v>3.2000000000000001E-2</v>
      </c>
      <c r="E25" s="31">
        <f t="shared" si="0"/>
        <v>2174.7200000000003</v>
      </c>
      <c r="F25" s="6">
        <f t="shared" si="1"/>
        <v>8.7816868842946171E-3</v>
      </c>
      <c r="G25" s="14">
        <f t="shared" si="2"/>
        <v>626.42699774634923</v>
      </c>
      <c r="H25" s="10">
        <f t="shared" si="3"/>
        <v>9.2175838397049615E-3</v>
      </c>
      <c r="J25" s="32"/>
    </row>
    <row r="26" spans="2:10">
      <c r="B26" s="20" t="str">
        <f>+'County Data'!$B$30</f>
        <v>Lincoln</v>
      </c>
      <c r="C26" s="15">
        <f>VLOOKUP($B26,'County Data'!$B$10:$L$46,2,FALSE)</f>
        <v>48210</v>
      </c>
      <c r="D26" s="29">
        <f>VLOOKUP($B26,'County Data'!$B$10:$L$46,10,FALSE)</f>
        <v>2.5000000000000001E-2</v>
      </c>
      <c r="E26" s="31">
        <f t="shared" si="0"/>
        <v>1205.25</v>
      </c>
      <c r="F26" s="6">
        <f t="shared" si="1"/>
        <v>4.8668923435182853E-3</v>
      </c>
      <c r="G26" s="14">
        <f t="shared" si="2"/>
        <v>347.17165383763756</v>
      </c>
      <c r="H26" s="10">
        <f t="shared" si="3"/>
        <v>7.2012373747694994E-3</v>
      </c>
      <c r="J26" s="32"/>
    </row>
    <row r="27" spans="2:10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Data'!$B$10:$L$46,10,FALSE)</f>
        <v>3.3000000000000002E-2</v>
      </c>
      <c r="E27" s="31">
        <f t="shared" si="0"/>
        <v>7233.6</v>
      </c>
      <c r="F27" s="6">
        <f t="shared" si="1"/>
        <v>2.920983402287813E-2</v>
      </c>
      <c r="G27" s="14">
        <f t="shared" si="2"/>
        <v>2083.6348269653063</v>
      </c>
      <c r="H27" s="10">
        <f t="shared" si="3"/>
        <v>9.5056333346957411E-3</v>
      </c>
      <c r="J27" s="32"/>
    </row>
    <row r="28" spans="2:10">
      <c r="B28" s="20" t="str">
        <f>+'County Data'!$B$11</f>
        <v>Benton</v>
      </c>
      <c r="C28" s="15">
        <f>VLOOKUP($B28,'County Data'!$B$10:$L$46,2,FALSE)</f>
        <v>93590</v>
      </c>
      <c r="D28" s="29">
        <f>VLOOKUP($B28,'County Data'!$B$10:$L$46,10,FALSE)</f>
        <v>4.2000000000000003E-2</v>
      </c>
      <c r="E28" s="31">
        <f t="shared" si="0"/>
        <v>3930.78</v>
      </c>
      <c r="F28" s="6">
        <f t="shared" si="1"/>
        <v>1.5872792438128856E-2</v>
      </c>
      <c r="G28" s="14">
        <f t="shared" si="2"/>
        <v>1132.259193919858</v>
      </c>
      <c r="H28" s="10">
        <f t="shared" si="3"/>
        <v>1.2098078789612759E-2</v>
      </c>
      <c r="J28" s="32"/>
    </row>
    <row r="29" spans="2:10">
      <c r="B29" s="20" t="str">
        <f>+'County Data'!$B$12</f>
        <v>Clackamas</v>
      </c>
      <c r="C29" s="15">
        <f>VLOOKUP($B29,'County Data'!$B$10:$L$46,2,FALSE)</f>
        <v>419425</v>
      </c>
      <c r="D29" s="29">
        <f>VLOOKUP($B29,'County Data'!$B$10:$L$46,10,FALSE)</f>
        <v>4.2000000000000003E-2</v>
      </c>
      <c r="E29" s="31">
        <f t="shared" si="0"/>
        <v>17615.850000000002</v>
      </c>
      <c r="F29" s="6">
        <f t="shared" si="1"/>
        <v>7.1134159294392527E-2</v>
      </c>
      <c r="G29" s="14">
        <f t="shared" si="2"/>
        <v>5074.2366963333325</v>
      </c>
      <c r="H29" s="10">
        <f t="shared" si="3"/>
        <v>1.2098078789612762E-2</v>
      </c>
      <c r="J29" s="32"/>
    </row>
    <row r="30" spans="2:10">
      <c r="B30" s="20" t="str">
        <f>+'County Data'!$B$37</f>
        <v>Polk</v>
      </c>
      <c r="C30" s="15">
        <f>VLOOKUP($B30,'County Data'!$B$10:$L$46,2,FALSE)</f>
        <v>82100</v>
      </c>
      <c r="D30" s="29">
        <f>VLOOKUP($B30,'County Data'!$B$10:$L$46,10,FALSE)</f>
        <v>5.0999999999999997E-2</v>
      </c>
      <c r="E30" s="31">
        <f t="shared" si="0"/>
        <v>4187.0999999999995</v>
      </c>
      <c r="F30" s="6">
        <f t="shared" si="1"/>
        <v>1.6907832343120023E-2</v>
      </c>
      <c r="G30" s="14">
        <f t="shared" si="2"/>
        <v>1206.0920404758947</v>
      </c>
      <c r="H30" s="10">
        <f t="shared" si="3"/>
        <v>1.4690524244529777E-2</v>
      </c>
      <c r="J30" s="32"/>
    </row>
    <row r="31" spans="2:10">
      <c r="B31" s="20" t="str">
        <f>+'County Data'!$B$25</f>
        <v>Jefferson</v>
      </c>
      <c r="C31" s="15">
        <f>VLOOKUP($B31,'County Data'!$B$10:$L$46,2,FALSE)</f>
        <v>23560</v>
      </c>
      <c r="D31" s="29">
        <f>VLOOKUP($B31,'County Data'!$B$10:$L$46,10,FALSE)</f>
        <v>5.0999999999999997E-2</v>
      </c>
      <c r="E31" s="31">
        <f t="shared" si="0"/>
        <v>1201.56</v>
      </c>
      <c r="F31" s="6">
        <f t="shared" si="1"/>
        <v>4.8519918392680612E-3</v>
      </c>
      <c r="G31" s="14">
        <f t="shared" si="2"/>
        <v>346.10875120112161</v>
      </c>
      <c r="H31" s="10">
        <f t="shared" si="3"/>
        <v>1.469052424452978E-2</v>
      </c>
      <c r="J31" s="32"/>
    </row>
    <row r="32" spans="2:10">
      <c r="B32" s="20" t="str">
        <f>+'County Data'!$B$46</f>
        <v>Yamhill</v>
      </c>
      <c r="C32" s="15">
        <f>VLOOKUP($B32,'County Data'!$B$10:$L$46,2,FALSE)</f>
        <v>107415</v>
      </c>
      <c r="D32" s="29">
        <f>VLOOKUP($B32,'County Data'!$B$10:$L$46,10,FALSE)</f>
        <v>5.3999999999999999E-2</v>
      </c>
      <c r="E32" s="31">
        <f t="shared" si="0"/>
        <v>5800.41</v>
      </c>
      <c r="F32" s="6">
        <f t="shared" si="1"/>
        <v>2.3422502400553324E-2</v>
      </c>
      <c r="G32" s="14">
        <f t="shared" si="2"/>
        <v>1670.8051712394699</v>
      </c>
      <c r="H32" s="10">
        <f t="shared" si="3"/>
        <v>1.5554672729502117E-2</v>
      </c>
      <c r="J32" s="32"/>
    </row>
    <row r="33" spans="2:10">
      <c r="B33" s="20" t="str">
        <f>+'County Data'!$B$36</f>
        <v>Gilliam, Sherman, Wasco</v>
      </c>
      <c r="C33" s="15">
        <f>VLOOKUP($B33,'County Data'!$B$10:$L$46,2,FALSE)</f>
        <v>30970</v>
      </c>
      <c r="D33" s="29">
        <f>VLOOKUP($B33,'County Data'!$B$10:$L$46,10,FALSE)</f>
        <v>5.6991795806745668E-2</v>
      </c>
      <c r="E33" s="31">
        <f t="shared" si="0"/>
        <v>1765.0359161349134</v>
      </c>
      <c r="F33" s="6">
        <f t="shared" si="1"/>
        <v>7.1273509946250084E-3</v>
      </c>
      <c r="G33" s="14">
        <f t="shared" si="2"/>
        <v>508.41770428325049</v>
      </c>
      <c r="H33" s="10">
        <f t="shared" si="3"/>
        <v>1.6416458000750742E-2</v>
      </c>
      <c r="J33" s="32"/>
    </row>
    <row r="34" spans="2:10">
      <c r="B34" s="20" t="str">
        <f>+'County Data'!$B$35</f>
        <v>Multnomah</v>
      </c>
      <c r="C34" s="15">
        <f>VLOOKUP($B34,'County Data'!$B$10:$L$46,2,FALSE)</f>
        <v>813300</v>
      </c>
      <c r="D34" s="29">
        <f>VLOOKUP($B34,'County Data'!$B$10:$L$46,10,FALSE)</f>
        <v>8.5000000000000006E-2</v>
      </c>
      <c r="E34" s="31">
        <f t="shared" si="0"/>
        <v>69130.5</v>
      </c>
      <c r="F34" s="6">
        <f t="shared" si="1"/>
        <v>0.27915428430084283</v>
      </c>
      <c r="G34" s="14">
        <f t="shared" si="2"/>
        <v>19913.005613460115</v>
      </c>
      <c r="H34" s="10">
        <f t="shared" si="3"/>
        <v>2.4484207074216297E-2</v>
      </c>
      <c r="J34" s="32"/>
    </row>
    <row r="35" spans="2:10">
      <c r="B35" s="20" t="str">
        <f>+'County Data'!$B$32</f>
        <v>Malheur</v>
      </c>
      <c r="C35" s="15">
        <f>VLOOKUP($B35,'County Data'!$B$10:$L$46,2,FALSE)</f>
        <v>31925</v>
      </c>
      <c r="D35" s="29">
        <f>VLOOKUP($B35,'County Data'!$B$10:$L$46,10,FALSE)</f>
        <v>8.4000000000000005E-2</v>
      </c>
      <c r="E35" s="31">
        <f t="shared" si="0"/>
        <v>2681.7000000000003</v>
      </c>
      <c r="F35" s="6">
        <f t="shared" si="1"/>
        <v>1.0828911178272546E-2</v>
      </c>
      <c r="G35" s="14">
        <f t="shared" si="2"/>
        <v>772.46233071677477</v>
      </c>
      <c r="H35" s="10">
        <f t="shared" si="3"/>
        <v>2.4196157579225521E-2</v>
      </c>
      <c r="J35" s="32"/>
    </row>
    <row r="36" spans="2:10">
      <c r="B36" s="20" t="str">
        <f>+'County Data'!$B$44</f>
        <v>Washington</v>
      </c>
      <c r="C36" s="15">
        <f>VLOOKUP($B36,'County Data'!$B$10:$L$46,2,FALSE)</f>
        <v>606280</v>
      </c>
      <c r="D36" s="29">
        <f>VLOOKUP($B36,'County Data'!$B$10:$L$46,10,FALSE)</f>
        <v>9.0999999999999998E-2</v>
      </c>
      <c r="E36" s="31">
        <f t="shared" si="0"/>
        <v>55171.479999999996</v>
      </c>
      <c r="F36" s="6">
        <f t="shared" si="1"/>
        <v>0.22278668624150358</v>
      </c>
      <c r="G36" s="14">
        <f t="shared" si="2"/>
        <v>15892.116951893917</v>
      </c>
      <c r="H36" s="10">
        <f t="shared" si="3"/>
        <v>2.6212504044160978E-2</v>
      </c>
      <c r="J36" s="32"/>
    </row>
    <row r="37" spans="2:10">
      <c r="B37" s="20" t="str">
        <f>+'County Data'!$B$40</f>
        <v>Umatilla</v>
      </c>
      <c r="C37" s="15">
        <f>VLOOKUP($B37,'County Data'!$B$10:$L$46,2,FALSE)</f>
        <v>80765</v>
      </c>
      <c r="D37" s="29">
        <f>VLOOKUP($B37,'County Data'!$B$10:$L$46,10,FALSE)</f>
        <v>0.105</v>
      </c>
      <c r="E37" s="31">
        <f t="shared" si="0"/>
        <v>8480.3249999999989</v>
      </c>
      <c r="F37" s="6">
        <f t="shared" si="1"/>
        <v>3.4244205611322708E-2</v>
      </c>
      <c r="G37" s="14">
        <f t="shared" si="2"/>
        <v>2442.7533336076858</v>
      </c>
      <c r="H37" s="10">
        <f t="shared" si="3"/>
        <v>3.0245196974031892E-2</v>
      </c>
      <c r="J37" s="32"/>
    </row>
    <row r="38" spans="2:10">
      <c r="B38" s="20" t="str">
        <f>+'County Data'!$B$33</f>
        <v>Marion</v>
      </c>
      <c r="C38" s="15">
        <f>VLOOKUP($B38,'County Data'!$B$10:$L$46,2,FALSE)</f>
        <v>344035</v>
      </c>
      <c r="D38" s="29">
        <f>VLOOKUP($B38,'County Data'!$B$10:$L$46,10,FALSE)</f>
        <v>0.108</v>
      </c>
      <c r="E38" s="31">
        <f t="shared" si="0"/>
        <v>37155.78</v>
      </c>
      <c r="F38" s="6">
        <f t="shared" si="1"/>
        <v>0.15003790184563354</v>
      </c>
      <c r="G38" s="14">
        <f t="shared" si="2"/>
        <v>10702.703664988523</v>
      </c>
      <c r="H38" s="10">
        <f t="shared" si="3"/>
        <v>3.1109345459004237E-2</v>
      </c>
      <c r="J38" s="32"/>
    </row>
    <row r="39" spans="2:10">
      <c r="B39" s="20" t="str">
        <f>+'County Data'!$B$23</f>
        <v>Hood River</v>
      </c>
      <c r="C39" s="15">
        <f>VLOOKUP($B39,'County Data'!$B$10:$L$46,2,FALSE)</f>
        <v>25310</v>
      </c>
      <c r="D39" s="29">
        <f>VLOOKUP($B39,'County Data'!$B$10:$L$46,10,FALSE)</f>
        <v>0.158</v>
      </c>
      <c r="E39" s="31">
        <f t="shared" si="0"/>
        <v>3998.98</v>
      </c>
      <c r="F39" s="6">
        <f t="shared" si="1"/>
        <v>1.6148189291750884E-2</v>
      </c>
      <c r="G39" s="14">
        <f t="shared" si="2"/>
        <v>1151.9041694782295</v>
      </c>
      <c r="H39" s="10">
        <f t="shared" si="3"/>
        <v>4.5511820208543247E-2</v>
      </c>
      <c r="J39" s="32"/>
    </row>
    <row r="40" spans="2:10">
      <c r="B40" s="20" t="str">
        <f>+'County Data'!$B$34</f>
        <v>Morrow</v>
      </c>
      <c r="C40" s="15">
        <f>VLOOKUP($B40,'County Data'!$B$10:$L$46,2,FALSE)</f>
        <v>11885</v>
      </c>
      <c r="D40" s="29">
        <f>VLOOKUP($B40,'County Data'!$B$10:$L$46,10,FALSE)</f>
        <v>0.158</v>
      </c>
      <c r="E40" s="31">
        <f t="shared" si="0"/>
        <v>1877.83</v>
      </c>
      <c r="F40" s="6">
        <f t="shared" si="1"/>
        <v>7.5828221940916329E-3</v>
      </c>
      <c r="G40" s="14">
        <f t="shared" si="2"/>
        <v>540.90798317853637</v>
      </c>
      <c r="H40" s="10">
        <f t="shared" si="3"/>
        <v>4.551182020854324E-2</v>
      </c>
      <c r="J40" s="32"/>
    </row>
    <row r="41" spans="2:10">
      <c r="B41" s="4" t="s">
        <v>2</v>
      </c>
      <c r="C41" s="5">
        <f>SUM(C7:C40)</f>
        <v>4195300</v>
      </c>
      <c r="D41" s="5"/>
      <c r="E41" s="5">
        <f>SUM(E7:E40)</f>
        <v>247642.62591613494</v>
      </c>
      <c r="F41" s="33">
        <f>SUM(F7:F40)</f>
        <v>0.99999999999999989</v>
      </c>
      <c r="G41" s="11">
        <f>SUM(G7:G40)</f>
        <v>71333.333333333314</v>
      </c>
      <c r="H41" s="12">
        <f>G41/C41</f>
        <v>1.7003154323488978E-2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5" width="12.5" bestFit="1" customWidth="1"/>
    <col min="7" max="7" width="14.1640625" customWidth="1"/>
    <col min="8" max="8" width="10.5" bestFit="1" customWidth="1"/>
    <col min="9" max="9" width="9.6640625" bestFit="1" customWidth="1"/>
    <col min="10" max="11" width="10.6640625" bestFit="1" customWidth="1"/>
    <col min="12" max="12" width="11.5" customWidth="1"/>
    <col min="14" max="14" width="11.5" bestFit="1" customWidth="1"/>
  </cols>
  <sheetData>
    <row r="3" spans="2:14">
      <c r="B3" t="s">
        <v>0</v>
      </c>
      <c r="C3" s="1">
        <f>'County Data'!C5</f>
        <v>800000</v>
      </c>
    </row>
    <row r="4" spans="2:14">
      <c r="B4" t="s">
        <v>41</v>
      </c>
      <c r="C4" s="14">
        <f>'County Data'!L9</f>
        <v>0</v>
      </c>
    </row>
    <row r="6" spans="2:14" s="2" customFormat="1" ht="28">
      <c r="B6" s="3" t="s">
        <v>7</v>
      </c>
      <c r="C6" s="3" t="s">
        <v>1</v>
      </c>
      <c r="D6" s="3" t="s">
        <v>129</v>
      </c>
      <c r="E6" s="3" t="s">
        <v>130</v>
      </c>
      <c r="F6" s="3" t="s">
        <v>112</v>
      </c>
      <c r="G6" s="3" t="s">
        <v>116</v>
      </c>
      <c r="H6" s="3" t="s">
        <v>33</v>
      </c>
      <c r="I6" s="3" t="s">
        <v>34</v>
      </c>
      <c r="J6" s="3" t="s">
        <v>109</v>
      </c>
      <c r="K6" s="13" t="s">
        <v>100</v>
      </c>
      <c r="L6" s="3" t="s">
        <v>111</v>
      </c>
    </row>
    <row r="7" spans="2:14">
      <c r="B7" s="20" t="str">
        <f>'County Data'!$B$45</f>
        <v>Wheeler</v>
      </c>
      <c r="C7" s="15">
        <f>VLOOKUP($B7,'County Data'!$B$10:$P$46,2,FALSE)</f>
        <v>1450</v>
      </c>
      <c r="D7" s="49">
        <v>22900</v>
      </c>
      <c r="E7" s="49">
        <f>VLOOKUP($B7,'County Data'!$B$10:$P$46,11,FALSE)</f>
        <v>6791</v>
      </c>
      <c r="F7" s="38">
        <f>IFERROR((E7-D7)/D7,-1)</f>
        <v>-0.70344978165938865</v>
      </c>
      <c r="G7" s="77">
        <f>IF(F7&lt;0,0,$C$4*Input!$C$37/36)</f>
        <v>0</v>
      </c>
      <c r="H7" s="31">
        <f>IF(F7&lt;0,0,C7*F7)</f>
        <v>0</v>
      </c>
      <c r="I7" s="38">
        <f>H7/$H$41</f>
        <v>0</v>
      </c>
      <c r="J7" s="77">
        <f>($C$4-$G$41)*I7</f>
        <v>0</v>
      </c>
      <c r="K7" s="79">
        <f>G7+J7</f>
        <v>0</v>
      </c>
      <c r="L7" s="48">
        <f>K7/C7</f>
        <v>0</v>
      </c>
      <c r="N7" s="162"/>
    </row>
    <row r="8" spans="2:14">
      <c r="B8" s="20" t="str">
        <f>+'County Data'!$B$42</f>
        <v>Wallowa</v>
      </c>
      <c r="C8" s="15">
        <f>VLOOKUP($B8,'County Data'!$B$10:$P$46,2,FALSE)</f>
        <v>7175</v>
      </c>
      <c r="D8" s="90">
        <v>0</v>
      </c>
      <c r="E8" s="49">
        <f>VLOOKUP($B8,'County Data'!$B$10:$P$46,11,FALSE)</f>
        <v>0</v>
      </c>
      <c r="F8" s="29">
        <f>IFERROR((E8-D8)/D8,-1)</f>
        <v>-1</v>
      </c>
      <c r="G8" s="77">
        <f>IF(F8&lt;0,0,$C$4*Input!$C$37/36)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7">
        <f t="shared" ref="J8:J40" si="2">($C$4-$G$41)*I8</f>
        <v>0</v>
      </c>
      <c r="K8" s="79">
        <f t="shared" ref="K8:K40" si="3">G8+J8</f>
        <v>0</v>
      </c>
      <c r="L8" s="48">
        <f t="shared" ref="L8:L40" si="4">K8/C8</f>
        <v>0</v>
      </c>
      <c r="N8" s="162"/>
    </row>
    <row r="9" spans="2:14">
      <c r="B9" s="20" t="str">
        <f>+'County Data'!$B$22</f>
        <v>Harney</v>
      </c>
      <c r="C9" s="15">
        <f>VLOOKUP($B9,'County Data'!$B$10:$P$46,2,FALSE)</f>
        <v>7380</v>
      </c>
      <c r="D9" s="49">
        <v>96952</v>
      </c>
      <c r="E9" s="49">
        <f>VLOOKUP($B9,'County Data'!$B$10:$P$46,11,FALSE)</f>
        <v>172270</v>
      </c>
      <c r="F9" s="38">
        <f t="shared" ref="F9:F41" si="5">IFERROR((E9-D9)/D9,-1)</f>
        <v>0.77685865170393598</v>
      </c>
      <c r="G9" s="77">
        <f>IF(F9&lt;0,0,$C$4*Input!$C$37/36)</f>
        <v>0</v>
      </c>
      <c r="H9" s="31">
        <f>IF(F9&lt;0,0,C9*F9)</f>
        <v>5733.2168495750475</v>
      </c>
      <c r="I9" s="38">
        <f t="shared" si="1"/>
        <v>1.4480692350961827E-3</v>
      </c>
      <c r="J9" s="77">
        <f t="shared" si="2"/>
        <v>0</v>
      </c>
      <c r="K9" s="79">
        <f t="shared" si="3"/>
        <v>0</v>
      </c>
      <c r="L9" s="48">
        <f t="shared" si="4"/>
        <v>0</v>
      </c>
      <c r="N9" s="6"/>
    </row>
    <row r="10" spans="2:14">
      <c r="B10" s="20" t="str">
        <f>+'County Data'!$B$21</f>
        <v>Grant</v>
      </c>
      <c r="C10" s="15">
        <f>VLOOKUP($B10,'County Data'!$B$10:$P$46,2,FALSE)</f>
        <v>7400</v>
      </c>
      <c r="D10" s="49">
        <v>73636</v>
      </c>
      <c r="E10" s="49">
        <f>VLOOKUP($B10,'County Data'!$B$10:$P$46,11,FALSE)</f>
        <v>0</v>
      </c>
      <c r="F10" s="38">
        <f t="shared" si="5"/>
        <v>-1</v>
      </c>
      <c r="G10" s="77">
        <f>IF(F10&lt;0,0,$C$4*Input!$C$37/36)</f>
        <v>0</v>
      </c>
      <c r="H10" s="31">
        <f t="shared" si="0"/>
        <v>0</v>
      </c>
      <c r="I10" s="38">
        <f t="shared" si="1"/>
        <v>0</v>
      </c>
      <c r="J10" s="77">
        <f t="shared" si="2"/>
        <v>0</v>
      </c>
      <c r="K10" s="79">
        <f t="shared" si="3"/>
        <v>0</v>
      </c>
      <c r="L10" s="48">
        <f t="shared" si="4"/>
        <v>0</v>
      </c>
      <c r="N10" s="162"/>
    </row>
    <row r="11" spans="2:14">
      <c r="B11" s="20" t="str">
        <f>+'County Data'!$B$28</f>
        <v>Lake</v>
      </c>
      <c r="C11" s="15">
        <f>VLOOKUP($B11,'County Data'!$B$10:$P$46,2,FALSE)</f>
        <v>8115</v>
      </c>
      <c r="D11" s="49">
        <v>151267</v>
      </c>
      <c r="E11" s="49">
        <f>VLOOKUP($B11,'County Data'!$B$10:$P$46,11,FALSE)</f>
        <v>187877</v>
      </c>
      <c r="F11" s="38">
        <f t="shared" si="5"/>
        <v>0.24202238426094258</v>
      </c>
      <c r="G11" s="77">
        <f>IF(F11&lt;0,0,$C$4*Input!$C$37/36)</f>
        <v>0</v>
      </c>
      <c r="H11" s="31">
        <f t="shared" si="0"/>
        <v>1964.0116482775491</v>
      </c>
      <c r="I11" s="38">
        <f t="shared" si="1"/>
        <v>4.9606092353755393E-4</v>
      </c>
      <c r="J11" s="77">
        <f t="shared" si="2"/>
        <v>0</v>
      </c>
      <c r="K11" s="79">
        <f t="shared" si="3"/>
        <v>0</v>
      </c>
      <c r="L11" s="48">
        <f t="shared" si="4"/>
        <v>0</v>
      </c>
      <c r="N11" s="6"/>
    </row>
    <row r="12" spans="2:14">
      <c r="B12" s="20" t="str">
        <f>+'County Data'!$B$34</f>
        <v>Morrow</v>
      </c>
      <c r="C12" s="15">
        <f>VLOOKUP($B12,'County Data'!$B$10:$P$46,2,FALSE)</f>
        <v>11885</v>
      </c>
      <c r="D12" s="49">
        <v>621474</v>
      </c>
      <c r="E12" s="49">
        <f>VLOOKUP($B12,'County Data'!$B$10:$P$46,11,FALSE)</f>
        <v>712823</v>
      </c>
      <c r="F12" s="38">
        <f t="shared" si="5"/>
        <v>0.14698764550085763</v>
      </c>
      <c r="G12" s="77">
        <f>IF(F12&lt;0,0,$C$4*Input!$C$37/36)</f>
        <v>0</v>
      </c>
      <c r="H12" s="31">
        <f t="shared" si="0"/>
        <v>1746.9481667776929</v>
      </c>
      <c r="I12" s="38">
        <f t="shared" si="1"/>
        <v>4.4123603938092047E-4</v>
      </c>
      <c r="J12" s="77">
        <f t="shared" si="2"/>
        <v>0</v>
      </c>
      <c r="K12" s="79">
        <f t="shared" si="3"/>
        <v>0</v>
      </c>
      <c r="L12" s="48">
        <f t="shared" si="4"/>
        <v>0</v>
      </c>
      <c r="N12" s="6"/>
    </row>
    <row r="13" spans="2:14">
      <c r="B13" s="20" t="str">
        <f>+'County Data'!$B$10</f>
        <v>Baker</v>
      </c>
      <c r="C13" s="15">
        <f>VLOOKUP($B13,'County Data'!$B$10:$P$46,2,FALSE)</f>
        <v>16765</v>
      </c>
      <c r="D13" s="49">
        <v>246676</v>
      </c>
      <c r="E13" s="49">
        <f>VLOOKUP($B13,'County Data'!$B$10:$P$46,11,FALSE)</f>
        <v>361764</v>
      </c>
      <c r="F13" s="38">
        <f t="shared" si="5"/>
        <v>0.46655531952845025</v>
      </c>
      <c r="G13" s="77">
        <f>IF(F13&lt;0,0,$C$4*Input!$C$37/36)</f>
        <v>0</v>
      </c>
      <c r="H13" s="31">
        <f t="shared" si="0"/>
        <v>7821.7999318944685</v>
      </c>
      <c r="I13" s="38">
        <f t="shared" si="1"/>
        <v>1.9755938318107278E-3</v>
      </c>
      <c r="J13" s="77">
        <f t="shared" si="2"/>
        <v>0</v>
      </c>
      <c r="K13" s="79">
        <f t="shared" si="3"/>
        <v>0</v>
      </c>
      <c r="L13" s="48">
        <f t="shared" si="4"/>
        <v>0</v>
      </c>
      <c r="N13" s="6"/>
    </row>
    <row r="14" spans="2:14">
      <c r="B14" s="20" t="str">
        <f>+'County Data'!$B$16</f>
        <v>Crook</v>
      </c>
      <c r="C14" s="15">
        <f>VLOOKUP($B14,'County Data'!$B$10:$P$46,2,FALSE)</f>
        <v>22710</v>
      </c>
      <c r="D14" s="49">
        <v>622139</v>
      </c>
      <c r="E14" s="49">
        <f>VLOOKUP($B14,'County Data'!$B$10:$P$46,11,FALSE)</f>
        <v>1584688</v>
      </c>
      <c r="F14" s="38">
        <f t="shared" si="5"/>
        <v>1.5471606827413167</v>
      </c>
      <c r="G14" s="77">
        <f>IF(F14&lt;0,0,$C$4*Input!$C$37/36)</f>
        <v>0</v>
      </c>
      <c r="H14" s="31">
        <f t="shared" si="0"/>
        <v>35136.019105055304</v>
      </c>
      <c r="I14" s="38">
        <f t="shared" si="1"/>
        <v>8.8744922169747571E-3</v>
      </c>
      <c r="J14" s="77">
        <f t="shared" si="2"/>
        <v>0</v>
      </c>
      <c r="K14" s="79">
        <f t="shared" si="3"/>
        <v>0</v>
      </c>
      <c r="L14" s="48">
        <f t="shared" si="4"/>
        <v>0</v>
      </c>
      <c r="N14" s="6"/>
    </row>
    <row r="15" spans="2:14">
      <c r="B15" s="20" t="str">
        <f>+'County Data'!$B$17</f>
        <v>Curry</v>
      </c>
      <c r="C15" s="15">
        <f>VLOOKUP($B15,'County Data'!$B$10:$P$46,2,FALSE)</f>
        <v>22915</v>
      </c>
      <c r="D15" s="49">
        <v>144795</v>
      </c>
      <c r="E15" s="49">
        <f>VLOOKUP($B15,'County Data'!$B$10:$P$46,11,FALSE)</f>
        <v>703878</v>
      </c>
      <c r="F15" s="38">
        <f t="shared" si="5"/>
        <v>3.8612037708484408</v>
      </c>
      <c r="G15" s="77">
        <f>IF(F15&lt;0,0,$C$4*Input!$C$37/36)</f>
        <v>0</v>
      </c>
      <c r="H15" s="31">
        <f t="shared" si="0"/>
        <v>88479.484408992023</v>
      </c>
      <c r="I15" s="38">
        <f t="shared" si="1"/>
        <v>2.2347736475261778E-2</v>
      </c>
      <c r="J15" s="77">
        <f t="shared" si="2"/>
        <v>0</v>
      </c>
      <c r="K15" s="79">
        <f t="shared" si="3"/>
        <v>0</v>
      </c>
      <c r="L15" s="48">
        <f t="shared" si="4"/>
        <v>0</v>
      </c>
      <c r="N15" s="6"/>
    </row>
    <row r="16" spans="2:14">
      <c r="B16" s="20" t="str">
        <f>+'County Data'!$B$25</f>
        <v>Jefferson</v>
      </c>
      <c r="C16" s="15">
        <f>VLOOKUP($B16,'County Data'!$B$10:$P$46,2,FALSE)</f>
        <v>23560</v>
      </c>
      <c r="D16" s="49">
        <v>566944</v>
      </c>
      <c r="E16" s="49">
        <f>VLOOKUP($B16,'County Data'!$B$10:$P$46,11,FALSE)</f>
        <v>261557</v>
      </c>
      <c r="F16" s="38">
        <f t="shared" si="5"/>
        <v>-0.53865461139019022</v>
      </c>
      <c r="G16" s="77">
        <f>IF(F16&lt;0,0,$C$4*Input!$C$37/36)</f>
        <v>0</v>
      </c>
      <c r="H16" s="31">
        <f t="shared" si="0"/>
        <v>0</v>
      </c>
      <c r="I16" s="38">
        <f t="shared" si="1"/>
        <v>0</v>
      </c>
      <c r="J16" s="77">
        <f t="shared" si="2"/>
        <v>0</v>
      </c>
      <c r="K16" s="79">
        <f t="shared" si="3"/>
        <v>0</v>
      </c>
      <c r="L16" s="48">
        <f t="shared" si="4"/>
        <v>0</v>
      </c>
      <c r="N16" s="162"/>
    </row>
    <row r="17" spans="2:14">
      <c r="B17" s="20" t="str">
        <f>+'County Data'!$B$23</f>
        <v>Hood River</v>
      </c>
      <c r="C17" s="15">
        <f>VLOOKUP($B17,'County Data'!$B$10:$P$46,2,FALSE)</f>
        <v>25310</v>
      </c>
      <c r="D17" s="49">
        <v>822751</v>
      </c>
      <c r="E17" s="49">
        <f>VLOOKUP($B17,'County Data'!$B$10:$P$46,11,FALSE)</f>
        <v>729676</v>
      </c>
      <c r="F17" s="38">
        <f t="shared" si="5"/>
        <v>-0.11312657170881592</v>
      </c>
      <c r="G17" s="77">
        <f>IF(F17&lt;0,0,$C$4*Input!$C$37/36)</f>
        <v>0</v>
      </c>
      <c r="H17" s="31">
        <f t="shared" si="0"/>
        <v>0</v>
      </c>
      <c r="I17" s="38">
        <f t="shared" si="1"/>
        <v>0</v>
      </c>
      <c r="J17" s="77">
        <f t="shared" si="2"/>
        <v>0</v>
      </c>
      <c r="K17" s="79">
        <f t="shared" si="3"/>
        <v>0</v>
      </c>
      <c r="L17" s="48">
        <f t="shared" si="4"/>
        <v>0</v>
      </c>
      <c r="N17" s="162"/>
    </row>
    <row r="18" spans="2:14">
      <c r="B18" s="20" t="str">
        <f>+'County Data'!$B$39</f>
        <v>Tillamook</v>
      </c>
      <c r="C18" s="15">
        <f>VLOOKUP($B18,'County Data'!$B$10:$P$46,2,FALSE)</f>
        <v>26395</v>
      </c>
      <c r="D18" s="49">
        <v>146840</v>
      </c>
      <c r="E18" s="49">
        <f>VLOOKUP($B18,'County Data'!$B$10:$P$46,11,FALSE)</f>
        <v>119798</v>
      </c>
      <c r="F18" s="38">
        <f t="shared" si="5"/>
        <v>-0.18415962952873877</v>
      </c>
      <c r="G18" s="77">
        <f>IF(F18&lt;0,0,$C$4*Input!$C$37/36)</f>
        <v>0</v>
      </c>
      <c r="H18" s="31">
        <f t="shared" si="0"/>
        <v>0</v>
      </c>
      <c r="I18" s="38">
        <f t="shared" si="1"/>
        <v>0</v>
      </c>
      <c r="J18" s="77">
        <f t="shared" si="2"/>
        <v>0</v>
      </c>
      <c r="K18" s="79">
        <f t="shared" si="3"/>
        <v>0</v>
      </c>
      <c r="L18" s="48">
        <f t="shared" si="4"/>
        <v>0</v>
      </c>
      <c r="N18" s="162"/>
    </row>
    <row r="19" spans="2:14">
      <c r="B19" s="20" t="str">
        <f>+'County Data'!$B$41</f>
        <v>Union</v>
      </c>
      <c r="C19" s="15">
        <f>VLOOKUP($B19,'County Data'!$B$10:$P$46,2,FALSE)</f>
        <v>26885</v>
      </c>
      <c r="D19" s="49">
        <v>145000</v>
      </c>
      <c r="E19" s="49">
        <f>VLOOKUP($B19,'County Data'!$B$10:$P$46,11,FALSE)</f>
        <v>153290</v>
      </c>
      <c r="F19" s="38">
        <f t="shared" si="5"/>
        <v>5.7172413793103449E-2</v>
      </c>
      <c r="G19" s="77">
        <f>IF(F19&lt;0,0,$C$4*Input!$C$37/36)</f>
        <v>0</v>
      </c>
      <c r="H19" s="31">
        <f t="shared" si="0"/>
        <v>1537.0803448275863</v>
      </c>
      <c r="I19" s="38">
        <f t="shared" si="1"/>
        <v>3.8822860143181891E-4</v>
      </c>
      <c r="J19" s="77">
        <f t="shared" si="2"/>
        <v>0</v>
      </c>
      <c r="K19" s="79">
        <f t="shared" si="3"/>
        <v>0</v>
      </c>
      <c r="L19" s="48">
        <f t="shared" si="4"/>
        <v>0</v>
      </c>
      <c r="N19" s="6"/>
    </row>
    <row r="20" spans="2:14">
      <c r="B20" s="20" t="str">
        <f>+'County Data'!$B$36</f>
        <v>Gilliam, Sherman, Wasco</v>
      </c>
      <c r="C20" s="15">
        <f>VLOOKUP($B20,'County Data'!$B$10:$P$46,2,FALSE)</f>
        <v>30970</v>
      </c>
      <c r="D20" s="49">
        <v>545643</v>
      </c>
      <c r="E20" s="49">
        <f>VLOOKUP($B20,'County Data'!$B$10:$P$46,11,FALSE)</f>
        <v>772441</v>
      </c>
      <c r="F20" s="38">
        <f t="shared" si="5"/>
        <v>0.41565272531673642</v>
      </c>
      <c r="G20" s="77">
        <f>IF(F20&lt;0,0,$C$4*Input!$C$37/36*3)</f>
        <v>0</v>
      </c>
      <c r="H20" s="31">
        <f t="shared" si="0"/>
        <v>12872.764903059327</v>
      </c>
      <c r="I20" s="38">
        <f t="shared" si="1"/>
        <v>3.2513430619893215E-3</v>
      </c>
      <c r="J20" s="77">
        <f t="shared" si="2"/>
        <v>0</v>
      </c>
      <c r="K20" s="79">
        <f t="shared" si="3"/>
        <v>0</v>
      </c>
      <c r="L20" s="48">
        <f t="shared" si="4"/>
        <v>0</v>
      </c>
      <c r="N20" s="6"/>
    </row>
    <row r="21" spans="2:14">
      <c r="B21" s="20" t="str">
        <f>+'County Data'!$B$32</f>
        <v>Malheur</v>
      </c>
      <c r="C21" s="15">
        <f>VLOOKUP($B21,'County Data'!$B$10:$P$46,2,FALSE)</f>
        <v>31925</v>
      </c>
      <c r="D21" s="49">
        <v>489035</v>
      </c>
      <c r="E21" s="49">
        <f>VLOOKUP($B21,'County Data'!$B$10:$P$46,11,FALSE)</f>
        <v>474185</v>
      </c>
      <c r="F21" s="38">
        <f t="shared" si="5"/>
        <v>-3.0365924729313851E-2</v>
      </c>
      <c r="G21" s="77">
        <f>IF(F21&lt;0,0,$C$4*Input!$C$37/36)</f>
        <v>0</v>
      </c>
      <c r="H21" s="31">
        <f t="shared" si="0"/>
        <v>0</v>
      </c>
      <c r="I21" s="38">
        <f t="shared" si="1"/>
        <v>0</v>
      </c>
      <c r="J21" s="77">
        <f t="shared" si="2"/>
        <v>0</v>
      </c>
      <c r="K21" s="79">
        <f t="shared" si="3"/>
        <v>0</v>
      </c>
      <c r="L21" s="48">
        <f t="shared" si="4"/>
        <v>0</v>
      </c>
      <c r="N21" s="162"/>
    </row>
    <row r="22" spans="2:14">
      <c r="B22" s="20" t="str">
        <f>+'County Data'!$B$13</f>
        <v>Clatsop</v>
      </c>
      <c r="C22" s="15">
        <f>VLOOKUP($B22,'County Data'!$B$10:$P$46,2,FALSE)</f>
        <v>39200</v>
      </c>
      <c r="D22" s="49">
        <v>431075</v>
      </c>
      <c r="E22" s="49">
        <f>VLOOKUP($B22,'County Data'!$B$10:$P$46,11,FALSE)</f>
        <v>446000</v>
      </c>
      <c r="F22" s="38">
        <f t="shared" si="5"/>
        <v>3.4622745461926577E-2</v>
      </c>
      <c r="G22" s="77">
        <f>IF(F22&lt;0,0,$C$4*Input!$C$37/36)</f>
        <v>0</v>
      </c>
      <c r="H22" s="31">
        <f t="shared" si="0"/>
        <v>1357.2116221075219</v>
      </c>
      <c r="I22" s="38">
        <f t="shared" si="1"/>
        <v>3.427981963798494E-4</v>
      </c>
      <c r="J22" s="77">
        <f t="shared" si="2"/>
        <v>0</v>
      </c>
      <c r="K22" s="79">
        <f t="shared" si="3"/>
        <v>0</v>
      </c>
      <c r="L22" s="48">
        <f t="shared" si="4"/>
        <v>0</v>
      </c>
      <c r="N22" s="6"/>
    </row>
    <row r="23" spans="2:14">
      <c r="B23" s="20" t="str">
        <f>+'County Data'!$B$30</f>
        <v>Lincoln</v>
      </c>
      <c r="C23" s="15">
        <f>VLOOKUP($B23,'County Data'!$B$10:$P$46,2,FALSE)</f>
        <v>48210</v>
      </c>
      <c r="D23" s="49">
        <v>307500</v>
      </c>
      <c r="E23" s="49">
        <f>VLOOKUP($B23,'County Data'!$B$10:$P$46,11,FALSE)</f>
        <v>1458472</v>
      </c>
      <c r="F23" s="38">
        <f t="shared" si="5"/>
        <v>3.74299837398374</v>
      </c>
      <c r="G23" s="77">
        <f>IF(F23&lt;0,0,$C$4*Input!$C$37/36)</f>
        <v>0</v>
      </c>
      <c r="H23" s="31">
        <f t="shared" si="0"/>
        <v>180449.9516097561</v>
      </c>
      <c r="I23" s="38">
        <f t="shared" si="1"/>
        <v>4.5577209140458527E-2</v>
      </c>
      <c r="J23" s="77">
        <f t="shared" si="2"/>
        <v>0</v>
      </c>
      <c r="K23" s="79">
        <f t="shared" si="3"/>
        <v>0</v>
      </c>
      <c r="L23" s="48">
        <f t="shared" si="4"/>
        <v>0</v>
      </c>
      <c r="N23" s="6"/>
    </row>
    <row r="24" spans="2:14">
      <c r="B24" s="20" t="str">
        <f>+'County Data'!$B$14</f>
        <v>Columbia</v>
      </c>
      <c r="C24" s="15">
        <f>VLOOKUP($B24,'County Data'!$B$10:$P$46,2,FALSE)</f>
        <v>51900</v>
      </c>
      <c r="D24" s="49">
        <v>144489</v>
      </c>
      <c r="E24" s="49">
        <f>VLOOKUP($B24,'County Data'!$B$10:$P$46,11,FALSE)</f>
        <v>615328</v>
      </c>
      <c r="F24" s="38">
        <f t="shared" si="5"/>
        <v>3.258649447362775</v>
      </c>
      <c r="G24" s="77">
        <f>IF(F24&lt;0,0,$C$4*Input!$C$37/36)</f>
        <v>0</v>
      </c>
      <c r="H24" s="31">
        <f t="shared" si="0"/>
        <v>169123.90631812802</v>
      </c>
      <c r="I24" s="38">
        <f t="shared" si="1"/>
        <v>4.2716529321008084E-2</v>
      </c>
      <c r="J24" s="77">
        <f t="shared" si="2"/>
        <v>0</v>
      </c>
      <c r="K24" s="79">
        <f t="shared" si="3"/>
        <v>0</v>
      </c>
      <c r="L24" s="48">
        <f t="shared" si="4"/>
        <v>0</v>
      </c>
      <c r="N24" s="6"/>
    </row>
    <row r="25" spans="2:14">
      <c r="B25" s="20" t="str">
        <f>+'County Data'!$B$15</f>
        <v>Coos</v>
      </c>
      <c r="C25" s="15">
        <f>VLOOKUP($B25,'County Data'!$B$10:$P$46,2,FALSE)</f>
        <v>63275</v>
      </c>
      <c r="D25" s="49">
        <v>52178</v>
      </c>
      <c r="E25" s="49">
        <f>VLOOKUP($B25,'County Data'!$B$10:$P$46,11,FALSE)</f>
        <v>332653</v>
      </c>
      <c r="F25" s="38">
        <f t="shared" si="5"/>
        <v>5.3753497642684653</v>
      </c>
      <c r="G25" s="77">
        <f>IF(F25&lt;0,0,$C$4*Input!$C$37/36)</f>
        <v>0</v>
      </c>
      <c r="H25" s="31">
        <f t="shared" si="0"/>
        <v>340125.25633408717</v>
      </c>
      <c r="I25" s="38">
        <f t="shared" si="1"/>
        <v>8.590725463543232E-2</v>
      </c>
      <c r="J25" s="77">
        <f t="shared" si="2"/>
        <v>0</v>
      </c>
      <c r="K25" s="79">
        <f t="shared" si="3"/>
        <v>0</v>
      </c>
      <c r="L25" s="48">
        <f t="shared" si="4"/>
        <v>0</v>
      </c>
      <c r="N25" s="6"/>
    </row>
    <row r="26" spans="2:14">
      <c r="B26" s="20" t="str">
        <f>+'County Data'!$B$27</f>
        <v>Klamath</v>
      </c>
      <c r="C26" s="15">
        <f>VLOOKUP($B26,'County Data'!$B$10:$P$46,2,FALSE)</f>
        <v>67960</v>
      </c>
      <c r="D26" s="49">
        <v>232280</v>
      </c>
      <c r="E26" s="49">
        <f>VLOOKUP($B26,'County Data'!$B$10:$P$46,11,FALSE)</f>
        <v>542426</v>
      </c>
      <c r="F26" s="38">
        <f t="shared" si="5"/>
        <v>1.3352247287756156</v>
      </c>
      <c r="G26" s="77">
        <f>IF(F26&lt;0,0,$C$4*Input!$C$37/36)</f>
        <v>0</v>
      </c>
      <c r="H26" s="31">
        <f t="shared" si="0"/>
        <v>90741.872567590835</v>
      </c>
      <c r="I26" s="38">
        <f t="shared" si="1"/>
        <v>2.2919159949424572E-2</v>
      </c>
      <c r="J26" s="77">
        <f t="shared" si="2"/>
        <v>0</v>
      </c>
      <c r="K26" s="79">
        <f t="shared" si="3"/>
        <v>0</v>
      </c>
      <c r="L26" s="48">
        <f t="shared" si="4"/>
        <v>0</v>
      </c>
      <c r="N26" s="6"/>
    </row>
    <row r="27" spans="2:14">
      <c r="B27" s="20" t="str">
        <f>+'County Data'!$B$40</f>
        <v>Umatilla</v>
      </c>
      <c r="C27" s="15">
        <f>VLOOKUP($B27,'County Data'!$B$10:$P$46,2,FALSE)</f>
        <v>80765</v>
      </c>
      <c r="D27" s="49">
        <v>386278</v>
      </c>
      <c r="E27" s="49">
        <f>VLOOKUP($B27,'County Data'!$B$10:$P$46,11,FALSE)</f>
        <v>532317</v>
      </c>
      <c r="F27" s="38">
        <f t="shared" si="5"/>
        <v>0.37806709157653295</v>
      </c>
      <c r="G27" s="77">
        <f>IF(F27&lt;0,0,$C$4*Input!$C$37/36)</f>
        <v>0</v>
      </c>
      <c r="H27" s="31">
        <f t="shared" si="0"/>
        <v>30534.588651178685</v>
      </c>
      <c r="I27" s="38">
        <f t="shared" si="1"/>
        <v>7.712284323479977E-3</v>
      </c>
      <c r="J27" s="77">
        <f t="shared" si="2"/>
        <v>0</v>
      </c>
      <c r="K27" s="79">
        <f t="shared" si="3"/>
        <v>0</v>
      </c>
      <c r="L27" s="48">
        <f t="shared" si="4"/>
        <v>0</v>
      </c>
      <c r="N27" s="6"/>
    </row>
    <row r="28" spans="2:14">
      <c r="B28" s="20" t="str">
        <f>+'County Data'!$B$37</f>
        <v>Polk</v>
      </c>
      <c r="C28" s="15">
        <f>VLOOKUP($B28,'County Data'!$B$10:$P$46,2,FALSE)</f>
        <v>82100</v>
      </c>
      <c r="D28" s="49">
        <v>251759</v>
      </c>
      <c r="E28" s="49">
        <f>VLOOKUP($B28,'County Data'!$B$10:$P$46,11,FALSE)</f>
        <v>291010</v>
      </c>
      <c r="F28" s="38">
        <f t="shared" si="5"/>
        <v>0.15590703808006864</v>
      </c>
      <c r="G28" s="77">
        <f>IF(F28&lt;0,0,$C$4*Input!$C$37/36)</f>
        <v>0</v>
      </c>
      <c r="H28" s="31">
        <f t="shared" si="0"/>
        <v>12799.967826373635</v>
      </c>
      <c r="I28" s="38">
        <f t="shared" si="1"/>
        <v>3.2329563150862626E-3</v>
      </c>
      <c r="J28" s="77">
        <f t="shared" si="2"/>
        <v>0</v>
      </c>
      <c r="K28" s="79">
        <f t="shared" si="3"/>
        <v>0</v>
      </c>
      <c r="L28" s="48">
        <f t="shared" si="4"/>
        <v>0</v>
      </c>
      <c r="N28" s="6"/>
    </row>
    <row r="29" spans="2:14">
      <c r="B29" s="20" t="str">
        <f>+'County Data'!$B$26</f>
        <v>Josephine</v>
      </c>
      <c r="C29" s="15">
        <f>VLOOKUP($B29,'County Data'!$B$10:$P$46,2,FALSE)</f>
        <v>86395</v>
      </c>
      <c r="D29" s="49">
        <v>364715</v>
      </c>
      <c r="E29" s="49">
        <f>VLOOKUP($B29,'County Data'!$B$10:$P$46,11,FALSE)</f>
        <v>657998</v>
      </c>
      <c r="F29" s="38">
        <f t="shared" si="5"/>
        <v>0.80414296094210547</v>
      </c>
      <c r="G29" s="77">
        <f>IF(F29&lt;0,0,$C$4*Input!$C$37/36)</f>
        <v>0</v>
      </c>
      <c r="H29" s="31">
        <f t="shared" si="0"/>
        <v>69473.931110593199</v>
      </c>
      <c r="I29" s="38">
        <f t="shared" si="1"/>
        <v>1.7547402256361259E-2</v>
      </c>
      <c r="J29" s="77">
        <f t="shared" si="2"/>
        <v>0</v>
      </c>
      <c r="K29" s="79">
        <f t="shared" si="3"/>
        <v>0</v>
      </c>
      <c r="L29" s="48">
        <f t="shared" si="4"/>
        <v>0</v>
      </c>
      <c r="N29" s="6"/>
    </row>
    <row r="30" spans="2:14">
      <c r="B30" s="20" t="str">
        <f>+'County Data'!$B$11</f>
        <v>Benton</v>
      </c>
      <c r="C30" s="15">
        <f>VLOOKUP($B30,'County Data'!$B$10:$P$46,2,FALSE)</f>
        <v>93590</v>
      </c>
      <c r="D30" s="49">
        <v>2090815</v>
      </c>
      <c r="E30" s="49">
        <f>VLOOKUP($B30,'County Data'!$B$10:$P$46,11,FALSE)</f>
        <v>1791995</v>
      </c>
      <c r="F30" s="38">
        <f t="shared" si="5"/>
        <v>-0.14292034445897892</v>
      </c>
      <c r="G30" s="77">
        <f>IF(F30&lt;0,0,$C$4*Input!$C$37/36)</f>
        <v>0</v>
      </c>
      <c r="H30" s="31">
        <f t="shared" si="0"/>
        <v>0</v>
      </c>
      <c r="I30" s="38">
        <f t="shared" si="1"/>
        <v>0</v>
      </c>
      <c r="J30" s="77">
        <f t="shared" si="2"/>
        <v>0</v>
      </c>
      <c r="K30" s="79">
        <f t="shared" si="3"/>
        <v>0</v>
      </c>
      <c r="L30" s="48">
        <f t="shared" si="4"/>
        <v>0</v>
      </c>
      <c r="N30" s="162"/>
    </row>
    <row r="31" spans="2:14">
      <c r="B31" s="20" t="str">
        <f>+'County Data'!$B$46</f>
        <v>Yamhill</v>
      </c>
      <c r="C31" s="15">
        <f>VLOOKUP($B31,'County Data'!$B$10:$P$46,2,FALSE)</f>
        <v>107415</v>
      </c>
      <c r="D31" s="49">
        <v>650791</v>
      </c>
      <c r="E31" s="49">
        <f>VLOOKUP($B31,'County Data'!$B$10:$P$46,11,FALSE)</f>
        <v>1553242</v>
      </c>
      <c r="F31" s="38">
        <f t="shared" si="5"/>
        <v>1.3866986482603478</v>
      </c>
      <c r="G31" s="77">
        <f>IF(F31&lt;0,0,$C$4*Input!$C$37/36)</f>
        <v>0</v>
      </c>
      <c r="H31" s="31">
        <f t="shared" si="0"/>
        <v>148952.23530288527</v>
      </c>
      <c r="I31" s="38">
        <f t="shared" si="1"/>
        <v>3.7621662515155536E-2</v>
      </c>
      <c r="J31" s="77">
        <f t="shared" si="2"/>
        <v>0</v>
      </c>
      <c r="K31" s="79">
        <f t="shared" si="3"/>
        <v>0</v>
      </c>
      <c r="L31" s="48">
        <f t="shared" si="4"/>
        <v>0</v>
      </c>
      <c r="N31" s="6"/>
    </row>
    <row r="32" spans="2:14">
      <c r="B32" s="20" t="str">
        <f>+'County Data'!$B$19</f>
        <v>Douglas</v>
      </c>
      <c r="C32" s="15">
        <f>VLOOKUP($B32,'County Data'!$B$10:$P$46,2,FALSE)</f>
        <v>111735</v>
      </c>
      <c r="D32" s="49">
        <v>671902</v>
      </c>
      <c r="E32" s="49">
        <f>VLOOKUP($B32,'County Data'!$B$10:$P$46,11,FALSE)</f>
        <v>444652</v>
      </c>
      <c r="F32" s="38">
        <f t="shared" si="5"/>
        <v>-0.33821896645641775</v>
      </c>
      <c r="G32" s="77">
        <f>IF(F32&lt;0,0,$C$4*Input!$C$37/36)</f>
        <v>0</v>
      </c>
      <c r="H32" s="31">
        <f t="shared" si="0"/>
        <v>0</v>
      </c>
      <c r="I32" s="38">
        <f t="shared" si="1"/>
        <v>0</v>
      </c>
      <c r="J32" s="77">
        <f t="shared" si="2"/>
        <v>0</v>
      </c>
      <c r="K32" s="79">
        <f t="shared" si="3"/>
        <v>0</v>
      </c>
      <c r="L32" s="48">
        <f t="shared" si="4"/>
        <v>0</v>
      </c>
      <c r="N32" s="162"/>
    </row>
    <row r="33" spans="2:14">
      <c r="B33" s="20" t="str">
        <f>+'County Data'!$B$31</f>
        <v>Linn</v>
      </c>
      <c r="C33" s="15">
        <f>VLOOKUP($B33,'County Data'!$B$10:$P$46,2,FALSE)</f>
        <v>125575</v>
      </c>
      <c r="D33" s="49">
        <v>651346</v>
      </c>
      <c r="E33" s="49">
        <f>VLOOKUP($B33,'County Data'!$B$10:$P$46,11,FALSE)</f>
        <v>1327242</v>
      </c>
      <c r="F33" s="38">
        <f t="shared" si="5"/>
        <v>1.0376911810312799</v>
      </c>
      <c r="G33" s="77">
        <f>IF(F33&lt;0,0,$C$4*Input!$C$37/36)</f>
        <v>0</v>
      </c>
      <c r="H33" s="31">
        <f t="shared" si="0"/>
        <v>130308.07005800297</v>
      </c>
      <c r="I33" s="38">
        <f t="shared" si="1"/>
        <v>3.2912606009266585E-2</v>
      </c>
      <c r="J33" s="77">
        <f t="shared" si="2"/>
        <v>0</v>
      </c>
      <c r="K33" s="79">
        <f t="shared" si="3"/>
        <v>0</v>
      </c>
      <c r="L33" s="48">
        <f t="shared" si="4"/>
        <v>0</v>
      </c>
      <c r="N33" s="6"/>
    </row>
    <row r="34" spans="2:14">
      <c r="B34" s="20" t="str">
        <f>+'County Data'!$B$18</f>
        <v>Deschutes</v>
      </c>
      <c r="C34" s="15">
        <f>VLOOKUP($B34,'County Data'!$B$10:$P$46,2,FALSE)</f>
        <v>188980</v>
      </c>
      <c r="D34" s="49">
        <v>2968217</v>
      </c>
      <c r="E34" s="49">
        <f>VLOOKUP($B34,'County Data'!$B$10:$P$46,11,FALSE)</f>
        <v>3814900</v>
      </c>
      <c r="F34" s="38">
        <f t="shared" si="5"/>
        <v>0.28524969704034442</v>
      </c>
      <c r="G34" s="77">
        <f>IF(F34&lt;0,0,$C$4*Input!$C$37/36)</f>
        <v>0</v>
      </c>
      <c r="H34" s="31">
        <f t="shared" si="0"/>
        <v>53906.487746684288</v>
      </c>
      <c r="I34" s="38">
        <f t="shared" si="1"/>
        <v>1.3615449847121828E-2</v>
      </c>
      <c r="J34" s="77">
        <f t="shared" si="2"/>
        <v>0</v>
      </c>
      <c r="K34" s="79">
        <f t="shared" si="3"/>
        <v>0</v>
      </c>
      <c r="L34" s="48">
        <f t="shared" si="4"/>
        <v>0</v>
      </c>
      <c r="N34" s="6"/>
    </row>
    <row r="35" spans="2:14">
      <c r="B35" s="20" t="str">
        <f>+'County Data'!$B$24</f>
        <v>Jackson</v>
      </c>
      <c r="C35" s="15">
        <f>VLOOKUP($B35,'County Data'!$B$10:$P$46,2,FALSE)</f>
        <v>219200</v>
      </c>
      <c r="D35" s="49">
        <v>670465</v>
      </c>
      <c r="E35" s="49">
        <f>VLOOKUP($B35,'County Data'!$B$10:$P$46,11,FALSE)</f>
        <v>2298330</v>
      </c>
      <c r="F35" s="38">
        <f t="shared" si="5"/>
        <v>2.4279641741179629</v>
      </c>
      <c r="G35" s="77">
        <f>IF(F35&lt;0,0,$C$4*Input!$C$37/36)</f>
        <v>0</v>
      </c>
      <c r="H35" s="31">
        <f t="shared" si="0"/>
        <v>532209.74696665746</v>
      </c>
      <c r="I35" s="38">
        <f t="shared" si="1"/>
        <v>0.13442306150653696</v>
      </c>
      <c r="J35" s="77">
        <f t="shared" si="2"/>
        <v>0</v>
      </c>
      <c r="K35" s="79">
        <f t="shared" si="3"/>
        <v>0</v>
      </c>
      <c r="L35" s="48">
        <f t="shared" si="4"/>
        <v>0</v>
      </c>
      <c r="N35" s="6"/>
    </row>
    <row r="36" spans="2:14">
      <c r="B36" s="20" t="str">
        <f>+'County Data'!$B$33</f>
        <v>Marion</v>
      </c>
      <c r="C36" s="15">
        <f>VLOOKUP($B36,'County Data'!$B$10:$P$46,2,FALSE)</f>
        <v>344035</v>
      </c>
      <c r="D36" s="49">
        <v>2152253</v>
      </c>
      <c r="E36" s="49">
        <f>VLOOKUP($B36,'County Data'!$B$10:$P$46,11,FALSE)</f>
        <v>4647307</v>
      </c>
      <c r="F36" s="38">
        <f t="shared" si="5"/>
        <v>1.1592754197578072</v>
      </c>
      <c r="G36" s="77">
        <f>IF(F36&lt;0,0,$C$4*Input!$C$37/36)</f>
        <v>0</v>
      </c>
      <c r="H36" s="31">
        <f t="shared" si="0"/>
        <v>398831.31903637719</v>
      </c>
      <c r="I36" s="38">
        <f t="shared" si="1"/>
        <v>0.10073495879232544</v>
      </c>
      <c r="J36" s="77">
        <f t="shared" si="2"/>
        <v>0</v>
      </c>
      <c r="K36" s="79">
        <f t="shared" si="3"/>
        <v>0</v>
      </c>
      <c r="L36" s="48">
        <f t="shared" si="4"/>
        <v>0</v>
      </c>
      <c r="N36" s="6"/>
    </row>
    <row r="37" spans="2:14">
      <c r="B37" s="20" t="str">
        <f>+'County Data'!$B$29</f>
        <v>Lane</v>
      </c>
      <c r="C37" s="15">
        <f>VLOOKUP($B37,'County Data'!$B$10:$P$46,2,FALSE)</f>
        <v>375120</v>
      </c>
      <c r="D37" s="49">
        <v>1716536</v>
      </c>
      <c r="E37" s="49">
        <f>VLOOKUP($B37,'County Data'!$B$10:$P$46,11,FALSE)</f>
        <v>4024080</v>
      </c>
      <c r="F37" s="38">
        <f t="shared" si="5"/>
        <v>1.3443027119734163</v>
      </c>
      <c r="G37" s="77">
        <f>IF(F37&lt;0,0,$C$4*Input!$C$37/36)</f>
        <v>0</v>
      </c>
      <c r="H37" s="31">
        <f t="shared" si="0"/>
        <v>504274.83331546793</v>
      </c>
      <c r="I37" s="38">
        <f t="shared" si="1"/>
        <v>0.1273673909982159</v>
      </c>
      <c r="J37" s="77">
        <f t="shared" si="2"/>
        <v>0</v>
      </c>
      <c r="K37" s="79">
        <f t="shared" si="3"/>
        <v>0</v>
      </c>
      <c r="L37" s="48">
        <f t="shared" si="4"/>
        <v>0</v>
      </c>
      <c r="N37" s="6"/>
    </row>
    <row r="38" spans="2:14">
      <c r="B38" s="20" t="str">
        <f>+'County Data'!$B$12</f>
        <v>Clackamas</v>
      </c>
      <c r="C38" s="15">
        <f>VLOOKUP($B38,'County Data'!$B$10:$P$46,2,FALSE)</f>
        <v>419425</v>
      </c>
      <c r="D38" s="49">
        <v>1965745</v>
      </c>
      <c r="E38" s="49">
        <f>VLOOKUP($B38,'County Data'!$B$10:$P$46,11,FALSE)</f>
        <v>5019520</v>
      </c>
      <c r="F38" s="38">
        <f t="shared" si="5"/>
        <v>1.5534949853617839</v>
      </c>
      <c r="G38" s="77">
        <f>IF(F38&lt;0,0,$C$4*Input!$C$37/36)</f>
        <v>0</v>
      </c>
      <c r="H38" s="31">
        <f t="shared" si="0"/>
        <v>651574.63423536625</v>
      </c>
      <c r="I38" s="38">
        <f t="shared" si="1"/>
        <v>0.16457168932572591</v>
      </c>
      <c r="J38" s="77">
        <f t="shared" si="2"/>
        <v>0</v>
      </c>
      <c r="K38" s="79">
        <f t="shared" si="3"/>
        <v>0</v>
      </c>
      <c r="L38" s="48">
        <f t="shared" si="4"/>
        <v>0</v>
      </c>
      <c r="N38" s="6"/>
    </row>
    <row r="39" spans="2:14">
      <c r="B39" s="20" t="str">
        <f>+'County Data'!$B$44</f>
        <v>Washington</v>
      </c>
      <c r="C39" s="15">
        <f>VLOOKUP($B39,'County Data'!$B$10:$P$46,2,FALSE)</f>
        <v>606280</v>
      </c>
      <c r="D39" s="49">
        <v>4800731</v>
      </c>
      <c r="E39" s="49">
        <f>VLOOKUP($B39,'County Data'!$B$10:$P$46,11,FALSE)</f>
        <v>8674852</v>
      </c>
      <c r="F39" s="38">
        <f t="shared" si="5"/>
        <v>0.806985644477893</v>
      </c>
      <c r="G39" s="77">
        <f>IF(F39&lt;0,0,$C$4*Input!$C$37/36)</f>
        <v>0</v>
      </c>
      <c r="H39" s="31">
        <f t="shared" si="0"/>
        <v>489259.25653405697</v>
      </c>
      <c r="I39" s="38">
        <f t="shared" si="1"/>
        <v>0.12357482648253787</v>
      </c>
      <c r="J39" s="77">
        <f t="shared" si="2"/>
        <v>0</v>
      </c>
      <c r="K39" s="79">
        <f t="shared" si="3"/>
        <v>0</v>
      </c>
      <c r="L39" s="48">
        <f t="shared" si="4"/>
        <v>0</v>
      </c>
      <c r="N39" s="6"/>
    </row>
    <row r="40" spans="2:14">
      <c r="B40" s="20" t="str">
        <f>+'County Data'!$B$35</f>
        <v>Multnomah</v>
      </c>
      <c r="C40" s="15">
        <f>VLOOKUP($B40,'County Data'!$B$10:$P$46,2,FALSE)</f>
        <v>813300</v>
      </c>
      <c r="D40" s="49">
        <v>43542723</v>
      </c>
      <c r="E40" s="49">
        <f>VLOOKUP($B40,'County Data'!$B$10:$P$46,11,FALSE)</f>
        <v>25329190</v>
      </c>
      <c r="F40" s="38">
        <f t="shared" si="5"/>
        <v>-0.41829108850174573</v>
      </c>
      <c r="G40" s="77">
        <f>IF(F40&lt;0,0,$C$4*Input!$C$37/36)</f>
        <v>0</v>
      </c>
      <c r="H40" s="31">
        <f t="shared" si="0"/>
        <v>0</v>
      </c>
      <c r="I40" s="38">
        <f t="shared" si="1"/>
        <v>0</v>
      </c>
      <c r="J40" s="77">
        <f t="shared" si="2"/>
        <v>0</v>
      </c>
      <c r="K40" s="79">
        <f t="shared" si="3"/>
        <v>0</v>
      </c>
      <c r="L40" s="48">
        <f t="shared" si="4"/>
        <v>0</v>
      </c>
      <c r="N40" s="162"/>
    </row>
    <row r="41" spans="2:14">
      <c r="B41" s="4" t="s">
        <v>2</v>
      </c>
      <c r="C41" s="5">
        <f>SUM(C7:C40)</f>
        <v>4195300</v>
      </c>
      <c r="D41" s="76">
        <f>SUM(D7:D40)</f>
        <v>68747850</v>
      </c>
      <c r="E41" s="76">
        <f>SUM(E7:E40)</f>
        <v>70042552</v>
      </c>
      <c r="F41" s="21">
        <f t="shared" si="5"/>
        <v>1.8832618038236833E-2</v>
      </c>
      <c r="G41" s="76">
        <f>SUM(G7:G40)</f>
        <v>0</v>
      </c>
      <c r="H41" s="5">
        <f>SUM(H7:H40)</f>
        <v>3959214.5945937727</v>
      </c>
      <c r="I41" s="21">
        <f>SUM(I7:I40)</f>
        <v>1</v>
      </c>
      <c r="J41" s="76">
        <f>SUM(J7:J40)</f>
        <v>0</v>
      </c>
      <c r="K41" s="76">
        <f>SUM(K7:K40)</f>
        <v>0</v>
      </c>
      <c r="L41" s="75">
        <f>K41/C41</f>
        <v>0</v>
      </c>
    </row>
  </sheetData>
  <sortState ref="B7:H40">
    <sortCondition ref="C7:C40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2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5.6640625" bestFit="1" customWidth="1"/>
    <col min="5" max="5" width="11.5" bestFit="1" customWidth="1"/>
    <col min="6" max="6" width="10.6640625" bestFit="1" customWidth="1"/>
    <col min="7" max="7" width="11.5" bestFit="1" customWidth="1"/>
    <col min="8" max="8" width="10" bestFit="1" customWidth="1"/>
    <col min="9" max="10" width="9.1640625" hidden="1" customWidth="1"/>
    <col min="11" max="12" width="10.6640625" hidden="1" customWidth="1"/>
    <col min="13" max="15" width="9.1640625" hidden="1" customWidth="1"/>
    <col min="16" max="17" width="10.6640625" hidden="1" customWidth="1"/>
    <col min="18" max="20" width="9.1640625" hidden="1" customWidth="1"/>
    <col min="21" max="22" width="10.6640625" hidden="1" customWidth="1"/>
    <col min="23" max="23" width="9.1640625" hidden="1" customWidth="1"/>
    <col min="24" max="24" width="11.1640625" bestFit="1" customWidth="1"/>
    <col min="25" max="25" width="10.5" bestFit="1" customWidth="1"/>
  </cols>
  <sheetData>
    <row r="2" spans="2:25">
      <c r="B2" t="s">
        <v>0</v>
      </c>
      <c r="C2" s="1">
        <f>'County Data'!C5</f>
        <v>800000</v>
      </c>
    </row>
    <row r="3" spans="2:25">
      <c r="B3" t="s">
        <v>41</v>
      </c>
      <c r="C3" s="14">
        <f>$C$2*Input!$C$39</f>
        <v>0</v>
      </c>
    </row>
    <row r="4" spans="2:25">
      <c r="D4" s="22"/>
      <c r="E4" s="74">
        <f>Input!$D$42</f>
        <v>1</v>
      </c>
      <c r="J4" s="74">
        <f>Input!$D$43</f>
        <v>0</v>
      </c>
      <c r="O4" s="74">
        <f>Input!$D$44</f>
        <v>0</v>
      </c>
      <c r="T4" s="74">
        <f>Input!$D$45</f>
        <v>0</v>
      </c>
    </row>
    <row r="5" spans="2:25">
      <c r="D5" s="219" t="s">
        <v>97</v>
      </c>
      <c r="E5" s="219"/>
      <c r="F5" s="219"/>
      <c r="G5" s="219"/>
      <c r="H5" s="219"/>
      <c r="I5" s="220" t="s">
        <v>101</v>
      </c>
      <c r="J5" s="220"/>
      <c r="K5" s="220"/>
      <c r="L5" s="220"/>
      <c r="M5" s="220"/>
      <c r="N5" s="219" t="s">
        <v>102</v>
      </c>
      <c r="O5" s="219"/>
      <c r="P5" s="219"/>
      <c r="Q5" s="219"/>
      <c r="R5" s="219"/>
      <c r="S5" s="220" t="s">
        <v>103</v>
      </c>
      <c r="T5" s="220"/>
      <c r="U5" s="220"/>
      <c r="V5" s="220"/>
      <c r="W5" s="220"/>
    </row>
    <row r="6" spans="2:25" s="2" customFormat="1" ht="28">
      <c r="B6" s="3" t="s">
        <v>7</v>
      </c>
      <c r="C6" s="3" t="s">
        <v>1</v>
      </c>
      <c r="D6" s="3" t="s">
        <v>98</v>
      </c>
      <c r="E6" s="3" t="s">
        <v>99</v>
      </c>
      <c r="F6" s="3" t="s">
        <v>108</v>
      </c>
      <c r="G6" s="3" t="s">
        <v>109</v>
      </c>
      <c r="H6" s="3" t="s">
        <v>100</v>
      </c>
      <c r="I6" s="3" t="s">
        <v>98</v>
      </c>
      <c r="J6" s="3" t="s">
        <v>99</v>
      </c>
      <c r="K6" s="3" t="s">
        <v>108</v>
      </c>
      <c r="L6" s="3" t="s">
        <v>109</v>
      </c>
      <c r="M6" s="3" t="s">
        <v>100</v>
      </c>
      <c r="N6" s="3" t="s">
        <v>98</v>
      </c>
      <c r="O6" s="3" t="s">
        <v>99</v>
      </c>
      <c r="P6" s="3" t="s">
        <v>108</v>
      </c>
      <c r="Q6" s="3" t="s">
        <v>109</v>
      </c>
      <c r="R6" s="3" t="s">
        <v>100</v>
      </c>
      <c r="S6" s="3" t="s">
        <v>98</v>
      </c>
      <c r="T6" s="3" t="s">
        <v>99</v>
      </c>
      <c r="U6" s="3" t="s">
        <v>108</v>
      </c>
      <c r="V6" s="3" t="s">
        <v>109</v>
      </c>
      <c r="W6" s="3" t="s">
        <v>100</v>
      </c>
      <c r="X6" s="13" t="s">
        <v>110</v>
      </c>
      <c r="Y6" s="3" t="s">
        <v>111</v>
      </c>
    </row>
    <row r="7" spans="2:25">
      <c r="B7" s="20" t="str">
        <f>'County Data'!$B$45</f>
        <v>Wheeler</v>
      </c>
      <c r="C7" s="15">
        <f>VLOOKUP($B7,'County Data'!$B$10:$P$46,2,FALSE)</f>
        <v>1450</v>
      </c>
      <c r="D7" s="26" t="str">
        <f>VLOOKUP($B7,'County Data'!$B$9:$P$46,12,FALSE)</f>
        <v>Y</v>
      </c>
      <c r="E7" s="77">
        <f>IF(D7="Y",$C$3*Input!$C$40/36*E$4,0)</f>
        <v>0</v>
      </c>
      <c r="F7" s="15">
        <f>IF(D7="Y",$C7,0)</f>
        <v>1450</v>
      </c>
      <c r="G7" s="77">
        <f>ROUND(($C$3*E$4-E$41)*(F7/F$41),2)</f>
        <v>0</v>
      </c>
      <c r="H7" s="78">
        <f>E7+G7</f>
        <v>0</v>
      </c>
      <c r="I7" s="26">
        <f>VLOOKUP($B7,'County Data'!$B$9:$P$46,13,FALSE)</f>
        <v>0</v>
      </c>
      <c r="J7" s="49">
        <f>IF(I7="Y",$C$3*Input!$C$40/36*J$4,0)</f>
        <v>0</v>
      </c>
      <c r="K7" s="15">
        <f>IF(I7="Y",$C7,0)</f>
        <v>0</v>
      </c>
      <c r="L7" s="77">
        <f>ROUND(($C$3*J$4-J$41)*(K7/K$41),2)</f>
        <v>0</v>
      </c>
      <c r="M7" s="78">
        <f>J7+L7</f>
        <v>0</v>
      </c>
      <c r="N7" s="26">
        <f>VLOOKUP($B7,'County Data'!$B$9:$P$46,14,FALSE)</f>
        <v>0</v>
      </c>
      <c r="O7" s="49">
        <f>IF(N7="Y",$C$3*Input!$C$40/36*O$4,0)</f>
        <v>0</v>
      </c>
      <c r="P7" s="15">
        <f>IF(N7="Y",$C7,0)</f>
        <v>0</v>
      </c>
      <c r="Q7" s="77">
        <f>ROUND(($C$3*O$4-O$41)*(P7/P$41),2)</f>
        <v>0</v>
      </c>
      <c r="R7" s="78">
        <f>O7+Q7</f>
        <v>0</v>
      </c>
      <c r="S7" s="26">
        <f>VLOOKUP($B7,'County Data'!$B$9:$P$46,15,FALSE)</f>
        <v>0</v>
      </c>
      <c r="T7" s="49">
        <f>IF(S7="Y",$C$3*Input!$C$40/36*T$4,0)</f>
        <v>0</v>
      </c>
      <c r="U7" s="15">
        <f>IF(S7="Y",$C7,0)</f>
        <v>0</v>
      </c>
      <c r="V7" s="77">
        <f>ROUND(($C$3*T$4-T$41)*(U7/U$41),2)</f>
        <v>0</v>
      </c>
      <c r="W7" s="78">
        <f>T7+V7</f>
        <v>0</v>
      </c>
      <c r="X7" s="79">
        <f>H7+M7+R7+W7</f>
        <v>0</v>
      </c>
      <c r="Y7" s="48">
        <f>X7/C7</f>
        <v>0</v>
      </c>
    </row>
    <row r="8" spans="2:25">
      <c r="B8" s="20" t="str">
        <f>+'County Data'!$B$42</f>
        <v>Wallowa</v>
      </c>
      <c r="C8" s="15">
        <f>VLOOKUP($B8,'County Data'!$B$10:$P$46,2,FALSE)</f>
        <v>7175</v>
      </c>
      <c r="D8" s="26" t="str">
        <f>VLOOKUP($B8,'County Data'!$B$9:$P$46,12,FALSE)</f>
        <v>Y</v>
      </c>
      <c r="E8" s="77">
        <f>IF(D8="Y",$C$3*Input!$C$40/36*E$4,0)</f>
        <v>0</v>
      </c>
      <c r="F8" s="15">
        <f t="shared" ref="F8:F40" si="0">IF(D8="Y",$C8,0)</f>
        <v>7175</v>
      </c>
      <c r="G8" s="77">
        <f t="shared" ref="G8:G40" si="1">ROUND(($C$3*E$4-E$41)*(F8/F$41),2)</f>
        <v>0</v>
      </c>
      <c r="H8" s="78">
        <f t="shared" ref="H8:H40" si="2">E8+G8</f>
        <v>0</v>
      </c>
      <c r="I8" s="26">
        <f>VLOOKUP($B8,'County Data'!$B$9:$P$46,13,FALSE)</f>
        <v>0</v>
      </c>
      <c r="J8" s="49">
        <f>IF(I8="Y",$C$3*Input!$C$40/36*J$4,0)</f>
        <v>0</v>
      </c>
      <c r="K8" s="15">
        <f t="shared" ref="K8:K40" si="3">IF(I8="Y",$C8,0)</f>
        <v>0</v>
      </c>
      <c r="L8" s="77">
        <f t="shared" ref="L8:L40" si="4">ROUND(($C$3*J$4-J$41)*(K8/K$41),2)</f>
        <v>0</v>
      </c>
      <c r="M8" s="78">
        <f t="shared" ref="M8:M40" si="5">J8+L8</f>
        <v>0</v>
      </c>
      <c r="N8" s="26">
        <f>VLOOKUP($B8,'County Data'!$B$9:$P$46,14,FALSE)</f>
        <v>0</v>
      </c>
      <c r="O8" s="49">
        <f>IF(N8="Y",$C$3*Input!$C$40/36*O$4,0)</f>
        <v>0</v>
      </c>
      <c r="P8" s="15">
        <f t="shared" ref="P8:P40" si="6">IF(N8="Y",$C8,0)</f>
        <v>0</v>
      </c>
      <c r="Q8" s="77">
        <f t="shared" ref="Q8:Q40" si="7">ROUND(($C$3*O$4-O$41)*(P8/P$41),2)</f>
        <v>0</v>
      </c>
      <c r="R8" s="78">
        <f t="shared" ref="R8:R40" si="8">O8+Q8</f>
        <v>0</v>
      </c>
      <c r="S8" s="26">
        <f>VLOOKUP($B8,'County Data'!$B$9:$P$46,15,FALSE)</f>
        <v>0</v>
      </c>
      <c r="T8" s="49">
        <f>IF(S8="Y",$C$3*Input!$C$40/36*T$4,0)</f>
        <v>0</v>
      </c>
      <c r="U8" s="15">
        <f t="shared" ref="U8:U40" si="9">IF(S8="Y",$C8,0)</f>
        <v>0</v>
      </c>
      <c r="V8" s="77">
        <f t="shared" ref="V8:V40" si="10">ROUND(($C$3*T$4-T$41)*(U8/U$41),2)</f>
        <v>0</v>
      </c>
      <c r="W8" s="78">
        <f t="shared" ref="W8:W40" si="11">T8+V8</f>
        <v>0</v>
      </c>
      <c r="X8" s="79">
        <f t="shared" ref="X8:X40" si="12">H8+M8+R8+W8</f>
        <v>0</v>
      </c>
      <c r="Y8" s="48">
        <f t="shared" ref="Y8:Y41" si="13">X8/C8</f>
        <v>0</v>
      </c>
    </row>
    <row r="9" spans="2:25">
      <c r="B9" s="20" t="str">
        <f>+'County Data'!$B$22</f>
        <v>Harney</v>
      </c>
      <c r="C9" s="15">
        <f>VLOOKUP($B9,'County Data'!$B$10:$P$46,2,FALSE)</f>
        <v>7380</v>
      </c>
      <c r="D9" s="26" t="str">
        <f>VLOOKUP($B9,'County Data'!$B$9:$P$46,12,FALSE)</f>
        <v>Y</v>
      </c>
      <c r="E9" s="77">
        <f>IF(D9="Y",$C$3*Input!$C$40/36*E$4,0)</f>
        <v>0</v>
      </c>
      <c r="F9" s="15">
        <f t="shared" si="0"/>
        <v>7380</v>
      </c>
      <c r="G9" s="77">
        <f t="shared" si="1"/>
        <v>0</v>
      </c>
      <c r="H9" s="78">
        <f t="shared" si="2"/>
        <v>0</v>
      </c>
      <c r="I9" s="26">
        <f>VLOOKUP($B9,'County Data'!$B$9:$P$46,13,FALSE)</f>
        <v>0</v>
      </c>
      <c r="J9" s="49">
        <f>IF(I9="Y",$C$3*Input!$C$40/36*J$4,0)</f>
        <v>0</v>
      </c>
      <c r="K9" s="15">
        <f t="shared" si="3"/>
        <v>0</v>
      </c>
      <c r="L9" s="77">
        <f t="shared" si="4"/>
        <v>0</v>
      </c>
      <c r="M9" s="78">
        <f t="shared" si="5"/>
        <v>0</v>
      </c>
      <c r="N9" s="26">
        <f>VLOOKUP($B9,'County Data'!$B$9:$P$46,14,FALSE)</f>
        <v>0</v>
      </c>
      <c r="O9" s="49">
        <f>IF(N9="Y",$C$3*Input!$C$40/36*O$4,0)</f>
        <v>0</v>
      </c>
      <c r="P9" s="15">
        <f t="shared" si="6"/>
        <v>0</v>
      </c>
      <c r="Q9" s="77">
        <f t="shared" si="7"/>
        <v>0</v>
      </c>
      <c r="R9" s="78">
        <f t="shared" si="8"/>
        <v>0</v>
      </c>
      <c r="S9" s="26">
        <f>VLOOKUP($B9,'County Data'!$B$9:$P$46,15,FALSE)</f>
        <v>0</v>
      </c>
      <c r="T9" s="49">
        <f>IF(S9="Y",$C$3*Input!$C$40/36*T$4,0)</f>
        <v>0</v>
      </c>
      <c r="U9" s="15">
        <f t="shared" si="9"/>
        <v>0</v>
      </c>
      <c r="V9" s="77">
        <f t="shared" si="10"/>
        <v>0</v>
      </c>
      <c r="W9" s="78">
        <f t="shared" si="11"/>
        <v>0</v>
      </c>
      <c r="X9" s="79">
        <f t="shared" si="12"/>
        <v>0</v>
      </c>
      <c r="Y9" s="48">
        <f t="shared" si="13"/>
        <v>0</v>
      </c>
    </row>
    <row r="10" spans="2:25">
      <c r="B10" s="20" t="str">
        <f>+'County Data'!$B$21</f>
        <v>Grant</v>
      </c>
      <c r="C10" s="15">
        <f>VLOOKUP($B10,'County Data'!$B$10:$P$46,2,FALSE)</f>
        <v>7400</v>
      </c>
      <c r="D10" s="26" t="str">
        <f>VLOOKUP($B10,'County Data'!$B$9:$P$46,12,FALSE)</f>
        <v>Y</v>
      </c>
      <c r="E10" s="77">
        <f>IF(D10="Y",$C$3*Input!$C$40/36*E$4,0)</f>
        <v>0</v>
      </c>
      <c r="F10" s="15">
        <f t="shared" si="0"/>
        <v>7400</v>
      </c>
      <c r="G10" s="77">
        <f t="shared" si="1"/>
        <v>0</v>
      </c>
      <c r="H10" s="78">
        <f t="shared" si="2"/>
        <v>0</v>
      </c>
      <c r="I10" s="26">
        <f>VLOOKUP($B10,'County Data'!$B$9:$P$46,13,FALSE)</f>
        <v>0</v>
      </c>
      <c r="J10" s="49">
        <f>IF(I10="Y",$C$3*Input!$C$40/36*J$4,0)</f>
        <v>0</v>
      </c>
      <c r="K10" s="15">
        <f t="shared" si="3"/>
        <v>0</v>
      </c>
      <c r="L10" s="77">
        <f t="shared" si="4"/>
        <v>0</v>
      </c>
      <c r="M10" s="78">
        <f t="shared" si="5"/>
        <v>0</v>
      </c>
      <c r="N10" s="26">
        <f>VLOOKUP($B10,'County Data'!$B$9:$P$46,14,FALSE)</f>
        <v>0</v>
      </c>
      <c r="O10" s="49">
        <f>IF(N10="Y",$C$3*Input!$C$40/36*O$4,0)</f>
        <v>0</v>
      </c>
      <c r="P10" s="15">
        <f t="shared" si="6"/>
        <v>0</v>
      </c>
      <c r="Q10" s="77">
        <f t="shared" si="7"/>
        <v>0</v>
      </c>
      <c r="R10" s="78">
        <f t="shared" si="8"/>
        <v>0</v>
      </c>
      <c r="S10" s="26">
        <f>VLOOKUP($B10,'County Data'!$B$9:$P$46,15,FALSE)</f>
        <v>0</v>
      </c>
      <c r="T10" s="49">
        <f>IF(S10="Y",$C$3*Input!$C$40/36*T$4,0)</f>
        <v>0</v>
      </c>
      <c r="U10" s="15">
        <f t="shared" si="9"/>
        <v>0</v>
      </c>
      <c r="V10" s="77">
        <f t="shared" si="10"/>
        <v>0</v>
      </c>
      <c r="W10" s="78">
        <f t="shared" si="11"/>
        <v>0</v>
      </c>
      <c r="X10" s="79">
        <f t="shared" si="12"/>
        <v>0</v>
      </c>
      <c r="Y10" s="48">
        <f t="shared" si="13"/>
        <v>0</v>
      </c>
    </row>
    <row r="11" spans="2:25">
      <c r="B11" s="20" t="str">
        <f>+'County Data'!$B$28</f>
        <v>Lake</v>
      </c>
      <c r="C11" s="15">
        <f>VLOOKUP($B11,'County Data'!$B$10:$P$46,2,FALSE)</f>
        <v>8115</v>
      </c>
      <c r="D11" s="26" t="str">
        <f>VLOOKUP($B11,'County Data'!$B$9:$P$46,12,FALSE)</f>
        <v>Y</v>
      </c>
      <c r="E11" s="77">
        <f>IF(D11="Y",$C$3*Input!$C$40/36*E$4,0)</f>
        <v>0</v>
      </c>
      <c r="F11" s="15">
        <f t="shared" si="0"/>
        <v>8115</v>
      </c>
      <c r="G11" s="77">
        <f t="shared" si="1"/>
        <v>0</v>
      </c>
      <c r="H11" s="78">
        <f t="shared" si="2"/>
        <v>0</v>
      </c>
      <c r="I11" s="26">
        <f>VLOOKUP($B11,'County Data'!$B$9:$P$46,13,FALSE)</f>
        <v>0</v>
      </c>
      <c r="J11" s="49">
        <f>IF(I11="Y",$C$3*Input!$C$40/36*J$4,0)</f>
        <v>0</v>
      </c>
      <c r="K11" s="15">
        <f t="shared" si="3"/>
        <v>0</v>
      </c>
      <c r="L11" s="77">
        <f t="shared" si="4"/>
        <v>0</v>
      </c>
      <c r="M11" s="78">
        <f t="shared" si="5"/>
        <v>0</v>
      </c>
      <c r="N11" s="26">
        <f>VLOOKUP($B11,'County Data'!$B$9:$P$46,14,FALSE)</f>
        <v>0</v>
      </c>
      <c r="O11" s="49">
        <f>IF(N11="Y",$C$3*Input!$C$40/36*O$4,0)</f>
        <v>0</v>
      </c>
      <c r="P11" s="15">
        <f t="shared" si="6"/>
        <v>0</v>
      </c>
      <c r="Q11" s="77">
        <f t="shared" si="7"/>
        <v>0</v>
      </c>
      <c r="R11" s="78">
        <f t="shared" si="8"/>
        <v>0</v>
      </c>
      <c r="S11" s="26">
        <f>VLOOKUP($B11,'County Data'!$B$9:$P$46,15,FALSE)</f>
        <v>0</v>
      </c>
      <c r="T11" s="49">
        <f>IF(S11="Y",$C$3*Input!$C$40/36*T$4,0)</f>
        <v>0</v>
      </c>
      <c r="U11" s="15">
        <f t="shared" si="9"/>
        <v>0</v>
      </c>
      <c r="V11" s="77">
        <f t="shared" si="10"/>
        <v>0</v>
      </c>
      <c r="W11" s="78">
        <f t="shared" si="11"/>
        <v>0</v>
      </c>
      <c r="X11" s="79">
        <f t="shared" si="12"/>
        <v>0</v>
      </c>
      <c r="Y11" s="48">
        <f t="shared" si="13"/>
        <v>0</v>
      </c>
    </row>
    <row r="12" spans="2:25">
      <c r="B12" s="20" t="str">
        <f>+'County Data'!$B$34</f>
        <v>Morrow</v>
      </c>
      <c r="C12" s="15">
        <f>VLOOKUP($B12,'County Data'!$B$10:$P$46,2,FALSE)</f>
        <v>11885</v>
      </c>
      <c r="D12" s="26" t="str">
        <f>VLOOKUP($B12,'County Data'!$B$9:$P$46,12,FALSE)</f>
        <v>Y</v>
      </c>
      <c r="E12" s="77">
        <f>IF(D12="Y",$C$3*Input!$C$40/36*E$4,0)</f>
        <v>0</v>
      </c>
      <c r="F12" s="15">
        <f t="shared" si="0"/>
        <v>11885</v>
      </c>
      <c r="G12" s="77">
        <f t="shared" si="1"/>
        <v>0</v>
      </c>
      <c r="H12" s="78">
        <f t="shared" si="2"/>
        <v>0</v>
      </c>
      <c r="I12" s="26">
        <f>VLOOKUP($B12,'County Data'!$B$9:$P$46,13,FALSE)</f>
        <v>0</v>
      </c>
      <c r="J12" s="49">
        <f>IF(I12="Y",$C$3*Input!$C$40/36*J$4,0)</f>
        <v>0</v>
      </c>
      <c r="K12" s="15">
        <f t="shared" si="3"/>
        <v>0</v>
      </c>
      <c r="L12" s="77">
        <f t="shared" si="4"/>
        <v>0</v>
      </c>
      <c r="M12" s="78">
        <f t="shared" si="5"/>
        <v>0</v>
      </c>
      <c r="N12" s="26">
        <f>VLOOKUP($B12,'County Data'!$B$9:$P$46,14,FALSE)</f>
        <v>0</v>
      </c>
      <c r="O12" s="49">
        <f>IF(N12="Y",$C$3*Input!$C$40/36*O$4,0)</f>
        <v>0</v>
      </c>
      <c r="P12" s="15">
        <f t="shared" si="6"/>
        <v>0</v>
      </c>
      <c r="Q12" s="77">
        <f t="shared" si="7"/>
        <v>0</v>
      </c>
      <c r="R12" s="78">
        <f t="shared" si="8"/>
        <v>0</v>
      </c>
      <c r="S12" s="26">
        <f>VLOOKUP($B12,'County Data'!$B$9:$P$46,15,FALSE)</f>
        <v>0</v>
      </c>
      <c r="T12" s="49">
        <f>IF(S12="Y",$C$3*Input!$C$40/36*T$4,0)</f>
        <v>0</v>
      </c>
      <c r="U12" s="15">
        <f t="shared" si="9"/>
        <v>0</v>
      </c>
      <c r="V12" s="77">
        <f t="shared" si="10"/>
        <v>0</v>
      </c>
      <c r="W12" s="78">
        <f t="shared" si="11"/>
        <v>0</v>
      </c>
      <c r="X12" s="79">
        <f t="shared" si="12"/>
        <v>0</v>
      </c>
      <c r="Y12" s="48">
        <f t="shared" si="13"/>
        <v>0</v>
      </c>
    </row>
    <row r="13" spans="2:25">
      <c r="B13" s="20" t="str">
        <f>+'County Data'!$B$10</f>
        <v>Baker</v>
      </c>
      <c r="C13" s="15">
        <f>VLOOKUP($B13,'County Data'!$B$10:$P$46,2,FALSE)</f>
        <v>16765</v>
      </c>
      <c r="D13" s="26" t="str">
        <f>VLOOKUP($B13,'County Data'!$B$9:$P$46,12,FALSE)</f>
        <v>Y</v>
      </c>
      <c r="E13" s="77">
        <f>IF(D13="Y",$C$3*Input!$C$40/36*E$4,0)</f>
        <v>0</v>
      </c>
      <c r="F13" s="15">
        <f t="shared" si="0"/>
        <v>16765</v>
      </c>
      <c r="G13" s="77">
        <f t="shared" si="1"/>
        <v>0</v>
      </c>
      <c r="H13" s="78">
        <f t="shared" si="2"/>
        <v>0</v>
      </c>
      <c r="I13" s="26">
        <f>VLOOKUP($B13,'County Data'!$B$9:$P$46,13,FALSE)</f>
        <v>0</v>
      </c>
      <c r="J13" s="49">
        <f>IF(I13="Y",$C$3*Input!$C$40/36*J$4,0)</f>
        <v>0</v>
      </c>
      <c r="K13" s="15">
        <f t="shared" si="3"/>
        <v>0</v>
      </c>
      <c r="L13" s="77">
        <f t="shared" si="4"/>
        <v>0</v>
      </c>
      <c r="M13" s="78">
        <f t="shared" si="5"/>
        <v>0</v>
      </c>
      <c r="N13" s="26">
        <f>VLOOKUP($B13,'County Data'!$B$9:$P$46,14,FALSE)</f>
        <v>0</v>
      </c>
      <c r="O13" s="49">
        <f>IF(N13="Y",$C$3*Input!$C$40/36*O$4,0)</f>
        <v>0</v>
      </c>
      <c r="P13" s="15">
        <f t="shared" si="6"/>
        <v>0</v>
      </c>
      <c r="Q13" s="77">
        <f t="shared" si="7"/>
        <v>0</v>
      </c>
      <c r="R13" s="78">
        <f t="shared" si="8"/>
        <v>0</v>
      </c>
      <c r="S13" s="26">
        <f>VLOOKUP($B13,'County Data'!$B$9:$P$46,15,FALSE)</f>
        <v>0</v>
      </c>
      <c r="T13" s="49">
        <f>IF(S13="Y",$C$3*Input!$C$40/36*T$4,0)</f>
        <v>0</v>
      </c>
      <c r="U13" s="15">
        <f t="shared" si="9"/>
        <v>0</v>
      </c>
      <c r="V13" s="77">
        <f t="shared" si="10"/>
        <v>0</v>
      </c>
      <c r="W13" s="78">
        <f t="shared" si="11"/>
        <v>0</v>
      </c>
      <c r="X13" s="79">
        <f t="shared" si="12"/>
        <v>0</v>
      </c>
      <c r="Y13" s="48">
        <f t="shared" si="13"/>
        <v>0</v>
      </c>
    </row>
    <row r="14" spans="2:25">
      <c r="B14" s="20" t="str">
        <f>+'County Data'!$B$16</f>
        <v>Crook</v>
      </c>
      <c r="C14" s="15">
        <f>VLOOKUP($B14,'County Data'!$B$10:$P$46,2,FALSE)</f>
        <v>22710</v>
      </c>
      <c r="D14" s="26" t="str">
        <f>VLOOKUP($B14,'County Data'!$B$9:$P$46,12,FALSE)</f>
        <v>Y</v>
      </c>
      <c r="E14" s="77">
        <f>IF(D14="Y",$C$3*Input!$C$40/36*E$4,0)</f>
        <v>0</v>
      </c>
      <c r="F14" s="15">
        <f t="shared" si="0"/>
        <v>22710</v>
      </c>
      <c r="G14" s="77">
        <f t="shared" si="1"/>
        <v>0</v>
      </c>
      <c r="H14" s="78">
        <f t="shared" si="2"/>
        <v>0</v>
      </c>
      <c r="I14" s="26">
        <f>VLOOKUP($B14,'County Data'!$B$9:$P$46,13,FALSE)</f>
        <v>0</v>
      </c>
      <c r="J14" s="49">
        <f>IF(I14="Y",$C$3*Input!$C$40/36*J$4,0)</f>
        <v>0</v>
      </c>
      <c r="K14" s="15">
        <f t="shared" si="3"/>
        <v>0</v>
      </c>
      <c r="L14" s="77">
        <f t="shared" si="4"/>
        <v>0</v>
      </c>
      <c r="M14" s="78">
        <f t="shared" si="5"/>
        <v>0</v>
      </c>
      <c r="N14" s="26">
        <f>VLOOKUP($B14,'County Data'!$B$9:$P$46,14,FALSE)</f>
        <v>0</v>
      </c>
      <c r="O14" s="49">
        <f>IF(N14="Y",$C$3*Input!$C$40/36*O$4,0)</f>
        <v>0</v>
      </c>
      <c r="P14" s="15">
        <f t="shared" si="6"/>
        <v>0</v>
      </c>
      <c r="Q14" s="77">
        <f t="shared" si="7"/>
        <v>0</v>
      </c>
      <c r="R14" s="78">
        <f t="shared" si="8"/>
        <v>0</v>
      </c>
      <c r="S14" s="26">
        <f>VLOOKUP($B14,'County Data'!$B$9:$P$46,15,FALSE)</f>
        <v>0</v>
      </c>
      <c r="T14" s="49">
        <f>IF(S14="Y",$C$3*Input!$C$40/36*T$4,0)</f>
        <v>0</v>
      </c>
      <c r="U14" s="15">
        <f t="shared" si="9"/>
        <v>0</v>
      </c>
      <c r="V14" s="77">
        <f t="shared" si="10"/>
        <v>0</v>
      </c>
      <c r="W14" s="78">
        <f t="shared" si="11"/>
        <v>0</v>
      </c>
      <c r="X14" s="79">
        <f t="shared" si="12"/>
        <v>0</v>
      </c>
      <c r="Y14" s="48">
        <f t="shared" si="13"/>
        <v>0</v>
      </c>
    </row>
    <row r="15" spans="2:25">
      <c r="B15" s="20" t="str">
        <f>+'County Data'!$B$25</f>
        <v>Jefferson</v>
      </c>
      <c r="C15" s="15">
        <f>VLOOKUP($B15,'County Data'!$B$10:$P$46,2,FALSE)</f>
        <v>23560</v>
      </c>
      <c r="D15" s="26" t="str">
        <f>VLOOKUP($B15,'County Data'!$B$9:$P$46,12,FALSE)</f>
        <v>Y</v>
      </c>
      <c r="E15" s="77">
        <f>IF(D15="Y",$C$3*Input!$C$40/36*E$4,0)</f>
        <v>0</v>
      </c>
      <c r="F15" s="15">
        <f t="shared" si="0"/>
        <v>23560</v>
      </c>
      <c r="G15" s="77">
        <f t="shared" si="1"/>
        <v>0</v>
      </c>
      <c r="H15" s="78">
        <f t="shared" si="2"/>
        <v>0</v>
      </c>
      <c r="I15" s="26">
        <f>VLOOKUP($B15,'County Data'!$B$9:$P$46,13,FALSE)</f>
        <v>0</v>
      </c>
      <c r="J15" s="49">
        <f>IF(I15="Y",$C$3*Input!$C$40/36*J$4,0)</f>
        <v>0</v>
      </c>
      <c r="K15" s="15">
        <f t="shared" si="3"/>
        <v>0</v>
      </c>
      <c r="L15" s="77">
        <f t="shared" si="4"/>
        <v>0</v>
      </c>
      <c r="M15" s="78">
        <f t="shared" si="5"/>
        <v>0</v>
      </c>
      <c r="N15" s="26">
        <f>VLOOKUP($B15,'County Data'!$B$9:$P$46,14,FALSE)</f>
        <v>0</v>
      </c>
      <c r="O15" s="49">
        <f>IF(N15="Y",$C$3*Input!$C$40/36*O$4,0)</f>
        <v>0</v>
      </c>
      <c r="P15" s="15">
        <f t="shared" si="6"/>
        <v>0</v>
      </c>
      <c r="Q15" s="77">
        <f t="shared" si="7"/>
        <v>0</v>
      </c>
      <c r="R15" s="78">
        <f t="shared" si="8"/>
        <v>0</v>
      </c>
      <c r="S15" s="26">
        <f>VLOOKUP($B15,'County Data'!$B$9:$P$46,15,FALSE)</f>
        <v>0</v>
      </c>
      <c r="T15" s="49">
        <f>IF(S15="Y",$C$3*Input!$C$40/36*T$4,0)</f>
        <v>0</v>
      </c>
      <c r="U15" s="15">
        <f t="shared" si="9"/>
        <v>0</v>
      </c>
      <c r="V15" s="77">
        <f t="shared" si="10"/>
        <v>0</v>
      </c>
      <c r="W15" s="78">
        <f t="shared" si="11"/>
        <v>0</v>
      </c>
      <c r="X15" s="79">
        <f t="shared" si="12"/>
        <v>0</v>
      </c>
      <c r="Y15" s="48">
        <f t="shared" si="13"/>
        <v>0</v>
      </c>
    </row>
    <row r="16" spans="2:25">
      <c r="B16" s="20" t="str">
        <f>+'County Data'!$B$17</f>
        <v>Curry</v>
      </c>
      <c r="C16" s="15">
        <f>VLOOKUP($B16,'County Data'!$B$10:$P$46,2,FALSE)</f>
        <v>22915</v>
      </c>
      <c r="D16" s="26" t="str">
        <f>VLOOKUP($B16,'County Data'!$B$9:$P$46,12,FALSE)</f>
        <v>Y</v>
      </c>
      <c r="E16" s="77">
        <f>IF(D16="Y",$C$3*Input!$C$40/36*E$4,0)</f>
        <v>0</v>
      </c>
      <c r="F16" s="15">
        <f t="shared" si="0"/>
        <v>22915</v>
      </c>
      <c r="G16" s="77">
        <f t="shared" si="1"/>
        <v>0</v>
      </c>
      <c r="H16" s="78">
        <f t="shared" si="2"/>
        <v>0</v>
      </c>
      <c r="I16" s="26">
        <f>VLOOKUP($B16,'County Data'!$B$9:$P$46,13,FALSE)</f>
        <v>0</v>
      </c>
      <c r="J16" s="49">
        <f>IF(I16="Y",$C$3*Input!$C$40/36*J$4,0)</f>
        <v>0</v>
      </c>
      <c r="K16" s="15">
        <f t="shared" si="3"/>
        <v>0</v>
      </c>
      <c r="L16" s="77">
        <f t="shared" si="4"/>
        <v>0</v>
      </c>
      <c r="M16" s="78">
        <f t="shared" si="5"/>
        <v>0</v>
      </c>
      <c r="N16" s="26">
        <f>VLOOKUP($B16,'County Data'!$B$9:$P$46,14,FALSE)</f>
        <v>0</v>
      </c>
      <c r="O16" s="49">
        <f>IF(N16="Y",$C$3*Input!$C$40/36*O$4,0)</f>
        <v>0</v>
      </c>
      <c r="P16" s="15">
        <f t="shared" si="6"/>
        <v>0</v>
      </c>
      <c r="Q16" s="77">
        <f t="shared" si="7"/>
        <v>0</v>
      </c>
      <c r="R16" s="78">
        <f t="shared" si="8"/>
        <v>0</v>
      </c>
      <c r="S16" s="26">
        <f>VLOOKUP($B16,'County Data'!$B$9:$P$46,15,FALSE)</f>
        <v>0</v>
      </c>
      <c r="T16" s="49">
        <f>IF(S16="Y",$C$3*Input!$C$40/36*T$4,0)</f>
        <v>0</v>
      </c>
      <c r="U16" s="15">
        <f t="shared" si="9"/>
        <v>0</v>
      </c>
      <c r="V16" s="77">
        <f t="shared" si="10"/>
        <v>0</v>
      </c>
      <c r="W16" s="78">
        <f t="shared" si="11"/>
        <v>0</v>
      </c>
      <c r="X16" s="79">
        <f t="shared" si="12"/>
        <v>0</v>
      </c>
      <c r="Y16" s="48">
        <f t="shared" si="13"/>
        <v>0</v>
      </c>
    </row>
    <row r="17" spans="2:25">
      <c r="B17" s="20" t="str">
        <f>+'County Data'!$B$23</f>
        <v>Hood River</v>
      </c>
      <c r="C17" s="15">
        <f>VLOOKUP($B17,'County Data'!$B$10:$P$46,2,FALSE)</f>
        <v>25310</v>
      </c>
      <c r="D17" s="26" t="str">
        <f>VLOOKUP($B17,'County Data'!$B$9:$P$46,12,FALSE)</f>
        <v>Y</v>
      </c>
      <c r="E17" s="77">
        <f>IF(D17="Y",$C$3*Input!$C$40/36*E$4,0)</f>
        <v>0</v>
      </c>
      <c r="F17" s="15">
        <f t="shared" si="0"/>
        <v>25310</v>
      </c>
      <c r="G17" s="77">
        <f t="shared" si="1"/>
        <v>0</v>
      </c>
      <c r="H17" s="78">
        <f t="shared" si="2"/>
        <v>0</v>
      </c>
      <c r="I17" s="26">
        <f>VLOOKUP($B17,'County Data'!$B$9:$P$46,13,FALSE)</f>
        <v>0</v>
      </c>
      <c r="J17" s="49">
        <f>IF(I17="Y",$C$3*Input!$C$40/36*J$4,0)</f>
        <v>0</v>
      </c>
      <c r="K17" s="15">
        <f t="shared" si="3"/>
        <v>0</v>
      </c>
      <c r="L17" s="77">
        <f t="shared" si="4"/>
        <v>0</v>
      </c>
      <c r="M17" s="78">
        <f t="shared" si="5"/>
        <v>0</v>
      </c>
      <c r="N17" s="26">
        <f>VLOOKUP($B17,'County Data'!$B$9:$P$46,14,FALSE)</f>
        <v>0</v>
      </c>
      <c r="O17" s="49">
        <f>IF(N17="Y",$C$3*Input!$C$40/36*O$4,0)</f>
        <v>0</v>
      </c>
      <c r="P17" s="15">
        <f t="shared" si="6"/>
        <v>0</v>
      </c>
      <c r="Q17" s="77">
        <f t="shared" si="7"/>
        <v>0</v>
      </c>
      <c r="R17" s="78">
        <f t="shared" si="8"/>
        <v>0</v>
      </c>
      <c r="S17" s="26">
        <f>VLOOKUP($B17,'County Data'!$B$9:$P$46,15,FALSE)</f>
        <v>0</v>
      </c>
      <c r="T17" s="49">
        <f>IF(S17="Y",$C$3*Input!$C$40/36*T$4,0)</f>
        <v>0</v>
      </c>
      <c r="U17" s="15">
        <f t="shared" si="9"/>
        <v>0</v>
      </c>
      <c r="V17" s="77">
        <f t="shared" si="10"/>
        <v>0</v>
      </c>
      <c r="W17" s="78">
        <f t="shared" si="11"/>
        <v>0</v>
      </c>
      <c r="X17" s="79">
        <f t="shared" si="12"/>
        <v>0</v>
      </c>
      <c r="Y17" s="48">
        <f t="shared" si="13"/>
        <v>0</v>
      </c>
    </row>
    <row r="18" spans="2:25">
      <c r="B18" s="20" t="str">
        <f>+'County Data'!$B$39</f>
        <v>Tillamook</v>
      </c>
      <c r="C18" s="15">
        <f>VLOOKUP($B18,'County Data'!$B$10:$P$46,2,FALSE)</f>
        <v>26395</v>
      </c>
      <c r="D18" s="26" t="str">
        <f>VLOOKUP($B18,'County Data'!$B$9:$P$46,12,FALSE)</f>
        <v>Y</v>
      </c>
      <c r="E18" s="77">
        <f>IF(D18="Y",$C$3*Input!$C$40/36*E$4,0)</f>
        <v>0</v>
      </c>
      <c r="F18" s="15">
        <f t="shared" si="0"/>
        <v>26395</v>
      </c>
      <c r="G18" s="77">
        <f t="shared" si="1"/>
        <v>0</v>
      </c>
      <c r="H18" s="78">
        <f t="shared" si="2"/>
        <v>0</v>
      </c>
      <c r="I18" s="26">
        <f>VLOOKUP($B18,'County Data'!$B$9:$P$46,13,FALSE)</f>
        <v>0</v>
      </c>
      <c r="J18" s="49">
        <f>IF(I18="Y",$C$3*Input!$C$40/36*J$4,0)</f>
        <v>0</v>
      </c>
      <c r="K18" s="15">
        <f t="shared" si="3"/>
        <v>0</v>
      </c>
      <c r="L18" s="77">
        <f t="shared" si="4"/>
        <v>0</v>
      </c>
      <c r="M18" s="78">
        <f t="shared" si="5"/>
        <v>0</v>
      </c>
      <c r="N18" s="26">
        <f>VLOOKUP($B18,'County Data'!$B$9:$P$46,14,FALSE)</f>
        <v>0</v>
      </c>
      <c r="O18" s="49">
        <f>IF(N18="Y",$C$3*Input!$C$40/36*O$4,0)</f>
        <v>0</v>
      </c>
      <c r="P18" s="15">
        <f t="shared" si="6"/>
        <v>0</v>
      </c>
      <c r="Q18" s="77">
        <f t="shared" si="7"/>
        <v>0</v>
      </c>
      <c r="R18" s="78">
        <f t="shared" si="8"/>
        <v>0</v>
      </c>
      <c r="S18" s="26">
        <f>VLOOKUP($B18,'County Data'!$B$9:$P$46,15,FALSE)</f>
        <v>0</v>
      </c>
      <c r="T18" s="49">
        <f>IF(S18="Y",$C$3*Input!$C$40/36*T$4,0)</f>
        <v>0</v>
      </c>
      <c r="U18" s="15">
        <f t="shared" si="9"/>
        <v>0</v>
      </c>
      <c r="V18" s="77">
        <f t="shared" si="10"/>
        <v>0</v>
      </c>
      <c r="W18" s="78">
        <f t="shared" si="11"/>
        <v>0</v>
      </c>
      <c r="X18" s="79">
        <f t="shared" si="12"/>
        <v>0</v>
      </c>
      <c r="Y18" s="48">
        <f t="shared" si="13"/>
        <v>0</v>
      </c>
    </row>
    <row r="19" spans="2:25">
      <c r="B19" s="20" t="str">
        <f>+'County Data'!$B$41</f>
        <v>Union</v>
      </c>
      <c r="C19" s="15">
        <f>VLOOKUP($B19,'County Data'!$B$10:$P$46,2,FALSE)</f>
        <v>26885</v>
      </c>
      <c r="D19" s="26" t="str">
        <f>VLOOKUP($B19,'County Data'!$B$9:$P$46,12,FALSE)</f>
        <v>Y</v>
      </c>
      <c r="E19" s="77">
        <f>IF(D19="Y",$C$3*Input!$C$40/36*E$4,0)</f>
        <v>0</v>
      </c>
      <c r="F19" s="15">
        <f t="shared" si="0"/>
        <v>26885</v>
      </c>
      <c r="G19" s="77">
        <f t="shared" si="1"/>
        <v>0</v>
      </c>
      <c r="H19" s="78">
        <f t="shared" si="2"/>
        <v>0</v>
      </c>
      <c r="I19" s="26">
        <f>VLOOKUP($B19,'County Data'!$B$9:$P$46,13,FALSE)</f>
        <v>0</v>
      </c>
      <c r="J19" s="49">
        <f>IF(I19="Y",$C$3*Input!$C$40/36*J$4,0)</f>
        <v>0</v>
      </c>
      <c r="K19" s="15">
        <f t="shared" si="3"/>
        <v>0</v>
      </c>
      <c r="L19" s="77">
        <f t="shared" si="4"/>
        <v>0</v>
      </c>
      <c r="M19" s="78">
        <f t="shared" si="5"/>
        <v>0</v>
      </c>
      <c r="N19" s="26">
        <f>VLOOKUP($B19,'County Data'!$B$9:$P$46,14,FALSE)</f>
        <v>0</v>
      </c>
      <c r="O19" s="49">
        <f>IF(N19="Y",$C$3*Input!$C$40/36*O$4,0)</f>
        <v>0</v>
      </c>
      <c r="P19" s="15">
        <f t="shared" si="6"/>
        <v>0</v>
      </c>
      <c r="Q19" s="77">
        <f t="shared" si="7"/>
        <v>0</v>
      </c>
      <c r="R19" s="78">
        <f t="shared" si="8"/>
        <v>0</v>
      </c>
      <c r="S19" s="26">
        <f>VLOOKUP($B19,'County Data'!$B$9:$P$46,15,FALSE)</f>
        <v>0</v>
      </c>
      <c r="T19" s="49">
        <f>IF(S19="Y",$C$3*Input!$C$40/36*T$4,0)</f>
        <v>0</v>
      </c>
      <c r="U19" s="15">
        <f t="shared" si="9"/>
        <v>0</v>
      </c>
      <c r="V19" s="77">
        <f t="shared" si="10"/>
        <v>0</v>
      </c>
      <c r="W19" s="78">
        <f t="shared" si="11"/>
        <v>0</v>
      </c>
      <c r="X19" s="79">
        <f t="shared" si="12"/>
        <v>0</v>
      </c>
      <c r="Y19" s="48">
        <f t="shared" si="13"/>
        <v>0</v>
      </c>
    </row>
    <row r="20" spans="2:25">
      <c r="B20" s="20" t="str">
        <f>+'County Data'!$B$36</f>
        <v>Gilliam, Sherman, Wasco</v>
      </c>
      <c r="C20" s="15">
        <f>VLOOKUP($B20,'County Data'!$B$10:$P$46,2,FALSE)</f>
        <v>30970</v>
      </c>
      <c r="D20" s="26" t="str">
        <f>VLOOKUP($B20,'County Data'!$B$9:$P$46,12,FALSE)</f>
        <v>Y</v>
      </c>
      <c r="E20" s="77">
        <f>IF(D20="Y",$C$3*Input!$C$40/36*3*E$4,0)</f>
        <v>0</v>
      </c>
      <c r="F20" s="15">
        <f t="shared" si="0"/>
        <v>30970</v>
      </c>
      <c r="G20" s="77">
        <f t="shared" si="1"/>
        <v>0</v>
      </c>
      <c r="H20" s="78">
        <f t="shared" si="2"/>
        <v>0</v>
      </c>
      <c r="I20" s="26">
        <f>VLOOKUP($B20,'County Data'!$B$9:$P$46,13,FALSE)</f>
        <v>0</v>
      </c>
      <c r="J20" s="49">
        <f>IF(I20="Y",$C$3*Input!$C$40/36*3*J$4,0)</f>
        <v>0</v>
      </c>
      <c r="K20" s="15">
        <f t="shared" si="3"/>
        <v>0</v>
      </c>
      <c r="L20" s="77">
        <f t="shared" si="4"/>
        <v>0</v>
      </c>
      <c r="M20" s="78">
        <f t="shared" si="5"/>
        <v>0</v>
      </c>
      <c r="N20" s="26">
        <f>VLOOKUP($B20,'County Data'!$B$9:$P$46,14,FALSE)</f>
        <v>0</v>
      </c>
      <c r="O20" s="49">
        <f>IF(N20="Y",$C$3*Input!$C$40/36*3*O$4,0)</f>
        <v>0</v>
      </c>
      <c r="P20" s="15">
        <f t="shared" si="6"/>
        <v>0</v>
      </c>
      <c r="Q20" s="77">
        <f t="shared" si="7"/>
        <v>0</v>
      </c>
      <c r="R20" s="78">
        <f t="shared" si="8"/>
        <v>0</v>
      </c>
      <c r="S20" s="26">
        <f>VLOOKUP($B20,'County Data'!$B$9:$P$46,15,FALSE)</f>
        <v>0</v>
      </c>
      <c r="T20" s="49">
        <f>IF(S20="Y",$C$3*Input!$C$40/36*3*T$4,0)</f>
        <v>0</v>
      </c>
      <c r="U20" s="15">
        <f t="shared" si="9"/>
        <v>0</v>
      </c>
      <c r="V20" s="77">
        <f t="shared" si="10"/>
        <v>0</v>
      </c>
      <c r="W20" s="78">
        <f t="shared" si="11"/>
        <v>0</v>
      </c>
      <c r="X20" s="79">
        <f t="shared" si="12"/>
        <v>0</v>
      </c>
      <c r="Y20" s="48">
        <f t="shared" si="13"/>
        <v>0</v>
      </c>
    </row>
    <row r="21" spans="2:25">
      <c r="B21" s="20" t="str">
        <f>+'County Data'!$B$32</f>
        <v>Malheur</v>
      </c>
      <c r="C21" s="15">
        <f>VLOOKUP($B21,'County Data'!$B$10:$P$46,2,FALSE)</f>
        <v>31925</v>
      </c>
      <c r="D21" s="26" t="str">
        <f>VLOOKUP($B21,'County Data'!$B$9:$P$46,12,FALSE)</f>
        <v>Y</v>
      </c>
      <c r="E21" s="77">
        <f>IF(D21="Y",$C$3*Input!$C$40/36*E$4,0)</f>
        <v>0</v>
      </c>
      <c r="F21" s="15">
        <f t="shared" si="0"/>
        <v>31925</v>
      </c>
      <c r="G21" s="77">
        <f t="shared" si="1"/>
        <v>0</v>
      </c>
      <c r="H21" s="78">
        <f t="shared" si="2"/>
        <v>0</v>
      </c>
      <c r="I21" s="26">
        <f>VLOOKUP($B21,'County Data'!$B$9:$P$46,13,FALSE)</f>
        <v>0</v>
      </c>
      <c r="J21" s="49">
        <f>IF(I21="Y",$C$3*Input!$C$40/36*J$4,0)</f>
        <v>0</v>
      </c>
      <c r="K21" s="15">
        <f t="shared" si="3"/>
        <v>0</v>
      </c>
      <c r="L21" s="77">
        <f t="shared" si="4"/>
        <v>0</v>
      </c>
      <c r="M21" s="78">
        <f t="shared" si="5"/>
        <v>0</v>
      </c>
      <c r="N21" s="26">
        <f>VLOOKUP($B21,'County Data'!$B$9:$P$46,14,FALSE)</f>
        <v>0</v>
      </c>
      <c r="O21" s="49">
        <f>IF(N21="Y",$C$3*Input!$C$40/36*O$4,0)</f>
        <v>0</v>
      </c>
      <c r="P21" s="15">
        <f t="shared" si="6"/>
        <v>0</v>
      </c>
      <c r="Q21" s="77">
        <f t="shared" si="7"/>
        <v>0</v>
      </c>
      <c r="R21" s="78">
        <f t="shared" si="8"/>
        <v>0</v>
      </c>
      <c r="S21" s="26">
        <f>VLOOKUP($B21,'County Data'!$B$9:$P$46,15,FALSE)</f>
        <v>0</v>
      </c>
      <c r="T21" s="49">
        <f>IF(S21="Y",$C$3*Input!$C$40/36*T$4,0)</f>
        <v>0</v>
      </c>
      <c r="U21" s="15">
        <f t="shared" si="9"/>
        <v>0</v>
      </c>
      <c r="V21" s="77">
        <f t="shared" si="10"/>
        <v>0</v>
      </c>
      <c r="W21" s="78">
        <f t="shared" si="11"/>
        <v>0</v>
      </c>
      <c r="X21" s="79">
        <f t="shared" si="12"/>
        <v>0</v>
      </c>
      <c r="Y21" s="48">
        <f t="shared" si="13"/>
        <v>0</v>
      </c>
    </row>
    <row r="22" spans="2:25">
      <c r="B22" s="20" t="str">
        <f>+'County Data'!$B$13</f>
        <v>Clatsop</v>
      </c>
      <c r="C22" s="15">
        <f>VLOOKUP($B22,'County Data'!$B$10:$P$46,2,FALSE)</f>
        <v>39200</v>
      </c>
      <c r="D22" s="26" t="str">
        <f>VLOOKUP($B22,'County Data'!$B$9:$P$46,12,FALSE)</f>
        <v>Y</v>
      </c>
      <c r="E22" s="77">
        <f>IF(D22="Y",$C$3*Input!$C$40/36*E$4,0)</f>
        <v>0</v>
      </c>
      <c r="F22" s="15">
        <f t="shared" si="0"/>
        <v>39200</v>
      </c>
      <c r="G22" s="77">
        <f t="shared" si="1"/>
        <v>0</v>
      </c>
      <c r="H22" s="78">
        <f t="shared" si="2"/>
        <v>0</v>
      </c>
      <c r="I22" s="26">
        <f>VLOOKUP($B22,'County Data'!$B$9:$P$46,13,FALSE)</f>
        <v>0</v>
      </c>
      <c r="J22" s="49">
        <f>IF(I22="Y",$C$3*Input!$C$40/36*J$4,0)</f>
        <v>0</v>
      </c>
      <c r="K22" s="15">
        <f t="shared" si="3"/>
        <v>0</v>
      </c>
      <c r="L22" s="77">
        <f t="shared" si="4"/>
        <v>0</v>
      </c>
      <c r="M22" s="78">
        <f t="shared" si="5"/>
        <v>0</v>
      </c>
      <c r="N22" s="26">
        <f>VLOOKUP($B22,'County Data'!$B$9:$P$46,14,FALSE)</f>
        <v>0</v>
      </c>
      <c r="O22" s="49">
        <f>IF(N22="Y",$C$3*Input!$C$40/36*O$4,0)</f>
        <v>0</v>
      </c>
      <c r="P22" s="15">
        <f t="shared" si="6"/>
        <v>0</v>
      </c>
      <c r="Q22" s="77">
        <f t="shared" si="7"/>
        <v>0</v>
      </c>
      <c r="R22" s="78">
        <f t="shared" si="8"/>
        <v>0</v>
      </c>
      <c r="S22" s="26">
        <f>VLOOKUP($B22,'County Data'!$B$9:$P$46,15,FALSE)</f>
        <v>0</v>
      </c>
      <c r="T22" s="49">
        <f>IF(S22="Y",$C$3*Input!$C$40/36*T$4,0)</f>
        <v>0</v>
      </c>
      <c r="U22" s="15">
        <f t="shared" si="9"/>
        <v>0</v>
      </c>
      <c r="V22" s="77">
        <f t="shared" si="10"/>
        <v>0</v>
      </c>
      <c r="W22" s="78">
        <f t="shared" si="11"/>
        <v>0</v>
      </c>
      <c r="X22" s="79">
        <f t="shared" si="12"/>
        <v>0</v>
      </c>
      <c r="Y22" s="48">
        <f t="shared" si="13"/>
        <v>0</v>
      </c>
    </row>
    <row r="23" spans="2:25">
      <c r="B23" s="20" t="str">
        <f>+'County Data'!$B$30</f>
        <v>Lincoln</v>
      </c>
      <c r="C23" s="15">
        <f>VLOOKUP($B23,'County Data'!$B$10:$P$46,2,FALSE)</f>
        <v>48210</v>
      </c>
      <c r="D23" s="26" t="str">
        <f>VLOOKUP($B23,'County Data'!$B$9:$P$46,12,FALSE)</f>
        <v>Y</v>
      </c>
      <c r="E23" s="77">
        <f>IF(D23="Y",$C$3*Input!$C$40/36*E$4,0)</f>
        <v>0</v>
      </c>
      <c r="F23" s="15">
        <f t="shared" si="0"/>
        <v>48210</v>
      </c>
      <c r="G23" s="77">
        <f t="shared" si="1"/>
        <v>0</v>
      </c>
      <c r="H23" s="78">
        <f t="shared" si="2"/>
        <v>0</v>
      </c>
      <c r="I23" s="26">
        <f>VLOOKUP($B23,'County Data'!$B$9:$P$46,13,FALSE)</f>
        <v>0</v>
      </c>
      <c r="J23" s="49">
        <f>IF(I23="Y",$C$3*Input!$C$40/36*J$4,0)</f>
        <v>0</v>
      </c>
      <c r="K23" s="15">
        <f t="shared" si="3"/>
        <v>0</v>
      </c>
      <c r="L23" s="77">
        <f t="shared" si="4"/>
        <v>0</v>
      </c>
      <c r="M23" s="78">
        <f t="shared" si="5"/>
        <v>0</v>
      </c>
      <c r="N23" s="26">
        <f>VLOOKUP($B23,'County Data'!$B$9:$P$46,14,FALSE)</f>
        <v>0</v>
      </c>
      <c r="O23" s="49">
        <f>IF(N23="Y",$C$3*Input!$C$40/36*O$4,0)</f>
        <v>0</v>
      </c>
      <c r="P23" s="15">
        <f t="shared" si="6"/>
        <v>0</v>
      </c>
      <c r="Q23" s="77">
        <f t="shared" si="7"/>
        <v>0</v>
      </c>
      <c r="R23" s="78">
        <f t="shared" si="8"/>
        <v>0</v>
      </c>
      <c r="S23" s="26">
        <f>VLOOKUP($B23,'County Data'!$B$9:$P$46,15,FALSE)</f>
        <v>0</v>
      </c>
      <c r="T23" s="49">
        <f>IF(S23="Y",$C$3*Input!$C$40/36*T$4,0)</f>
        <v>0</v>
      </c>
      <c r="U23" s="15">
        <f t="shared" si="9"/>
        <v>0</v>
      </c>
      <c r="V23" s="77">
        <f t="shared" si="10"/>
        <v>0</v>
      </c>
      <c r="W23" s="78">
        <f t="shared" si="11"/>
        <v>0</v>
      </c>
      <c r="X23" s="79">
        <f t="shared" si="12"/>
        <v>0</v>
      </c>
      <c r="Y23" s="48">
        <f t="shared" si="13"/>
        <v>0</v>
      </c>
    </row>
    <row r="24" spans="2:25">
      <c r="B24" s="20" t="str">
        <f>+'County Data'!$B$14</f>
        <v>Columbia</v>
      </c>
      <c r="C24" s="15">
        <f>VLOOKUP($B24,'County Data'!$B$10:$P$46,2,FALSE)</f>
        <v>51900</v>
      </c>
      <c r="D24" s="26" t="str">
        <f>VLOOKUP($B24,'County Data'!$B$9:$P$46,12,FALSE)</f>
        <v>Y</v>
      </c>
      <c r="E24" s="77">
        <f>IF(D24="Y",$C$3*Input!$C$40/36*E$4,0)</f>
        <v>0</v>
      </c>
      <c r="F24" s="15">
        <f t="shared" si="0"/>
        <v>51900</v>
      </c>
      <c r="G24" s="77">
        <f t="shared" si="1"/>
        <v>0</v>
      </c>
      <c r="H24" s="78">
        <f t="shared" si="2"/>
        <v>0</v>
      </c>
      <c r="I24" s="26">
        <f>VLOOKUP($B24,'County Data'!$B$9:$P$46,13,FALSE)</f>
        <v>0</v>
      </c>
      <c r="J24" s="49">
        <f>IF(I24="Y",$C$3*Input!$C$40/36*J$4,0)</f>
        <v>0</v>
      </c>
      <c r="K24" s="15">
        <f t="shared" si="3"/>
        <v>0</v>
      </c>
      <c r="L24" s="77">
        <f t="shared" si="4"/>
        <v>0</v>
      </c>
      <c r="M24" s="78">
        <f t="shared" si="5"/>
        <v>0</v>
      </c>
      <c r="N24" s="26">
        <f>VLOOKUP($B24,'County Data'!$B$9:$P$46,14,FALSE)</f>
        <v>0</v>
      </c>
      <c r="O24" s="49">
        <f>IF(N24="Y",$C$3*Input!$C$40/36*O$4,0)</f>
        <v>0</v>
      </c>
      <c r="P24" s="15">
        <f t="shared" si="6"/>
        <v>0</v>
      </c>
      <c r="Q24" s="77">
        <f t="shared" si="7"/>
        <v>0</v>
      </c>
      <c r="R24" s="78">
        <f t="shared" si="8"/>
        <v>0</v>
      </c>
      <c r="S24" s="26">
        <f>VLOOKUP($B24,'County Data'!$B$9:$P$46,15,FALSE)</f>
        <v>0</v>
      </c>
      <c r="T24" s="49">
        <f>IF(S24="Y",$C$3*Input!$C$40/36*T$4,0)</f>
        <v>0</v>
      </c>
      <c r="U24" s="15">
        <f t="shared" si="9"/>
        <v>0</v>
      </c>
      <c r="V24" s="77">
        <f t="shared" si="10"/>
        <v>0</v>
      </c>
      <c r="W24" s="78">
        <f t="shared" si="11"/>
        <v>0</v>
      </c>
      <c r="X24" s="79">
        <f t="shared" si="12"/>
        <v>0</v>
      </c>
      <c r="Y24" s="48">
        <f t="shared" si="13"/>
        <v>0</v>
      </c>
    </row>
    <row r="25" spans="2:25">
      <c r="B25" s="20" t="str">
        <f>+'County Data'!$B$15</f>
        <v>Coos</v>
      </c>
      <c r="C25" s="15">
        <f>VLOOKUP($B25,'County Data'!$B$10:$P$46,2,FALSE)</f>
        <v>63275</v>
      </c>
      <c r="D25" s="26" t="str">
        <f>VLOOKUP($B25,'County Data'!$B$9:$P$46,12,FALSE)</f>
        <v>Y</v>
      </c>
      <c r="E25" s="77">
        <f>IF(D25="Y",$C$3*Input!$C$40/36*E$4,0)</f>
        <v>0</v>
      </c>
      <c r="F25" s="15">
        <f t="shared" si="0"/>
        <v>63275</v>
      </c>
      <c r="G25" s="77">
        <f t="shared" si="1"/>
        <v>0</v>
      </c>
      <c r="H25" s="78">
        <f t="shared" si="2"/>
        <v>0</v>
      </c>
      <c r="I25" s="26">
        <f>VLOOKUP($B25,'County Data'!$B$9:$P$46,13,FALSE)</f>
        <v>0</v>
      </c>
      <c r="J25" s="49">
        <f>IF(I25="Y",$C$3*Input!$C$40/36*J$4,0)</f>
        <v>0</v>
      </c>
      <c r="K25" s="15">
        <f t="shared" si="3"/>
        <v>0</v>
      </c>
      <c r="L25" s="77">
        <f t="shared" si="4"/>
        <v>0</v>
      </c>
      <c r="M25" s="78">
        <f t="shared" si="5"/>
        <v>0</v>
      </c>
      <c r="N25" s="26">
        <f>VLOOKUP($B25,'County Data'!$B$9:$P$46,14,FALSE)</f>
        <v>0</v>
      </c>
      <c r="O25" s="49">
        <f>IF(N25="Y",$C$3*Input!$C$40/36*O$4,0)</f>
        <v>0</v>
      </c>
      <c r="P25" s="15">
        <f t="shared" si="6"/>
        <v>0</v>
      </c>
      <c r="Q25" s="77">
        <f t="shared" si="7"/>
        <v>0</v>
      </c>
      <c r="R25" s="78">
        <f t="shared" si="8"/>
        <v>0</v>
      </c>
      <c r="S25" s="26">
        <f>VLOOKUP($B25,'County Data'!$B$9:$P$46,15,FALSE)</f>
        <v>0</v>
      </c>
      <c r="T25" s="49">
        <f>IF(S25="Y",$C$3*Input!$C$40/36*T$4,0)</f>
        <v>0</v>
      </c>
      <c r="U25" s="15">
        <f t="shared" si="9"/>
        <v>0</v>
      </c>
      <c r="V25" s="77">
        <f t="shared" si="10"/>
        <v>0</v>
      </c>
      <c r="W25" s="78">
        <f t="shared" si="11"/>
        <v>0</v>
      </c>
      <c r="X25" s="79">
        <f t="shared" si="12"/>
        <v>0</v>
      </c>
      <c r="Y25" s="48">
        <f t="shared" si="13"/>
        <v>0</v>
      </c>
    </row>
    <row r="26" spans="2:25">
      <c r="B26" s="20" t="str">
        <f>+'County Data'!$B$27</f>
        <v>Klamath</v>
      </c>
      <c r="C26" s="15">
        <f>VLOOKUP($B26,'County Data'!$B$10:$P$46,2,FALSE)</f>
        <v>67960</v>
      </c>
      <c r="D26" s="26" t="str">
        <f>VLOOKUP($B26,'County Data'!$B$9:$P$46,12,FALSE)</f>
        <v>Y</v>
      </c>
      <c r="E26" s="77">
        <f>IF(D26="Y",$C$3*Input!$C$40/36*E$4,0)</f>
        <v>0</v>
      </c>
      <c r="F26" s="15">
        <f t="shared" si="0"/>
        <v>67960</v>
      </c>
      <c r="G26" s="77">
        <f t="shared" si="1"/>
        <v>0</v>
      </c>
      <c r="H26" s="78">
        <f t="shared" si="2"/>
        <v>0</v>
      </c>
      <c r="I26" s="26">
        <f>VLOOKUP($B26,'County Data'!$B$9:$P$46,13,FALSE)</f>
        <v>0</v>
      </c>
      <c r="J26" s="49">
        <f>IF(I26="Y",$C$3*Input!$C$40/36*J$4,0)</f>
        <v>0</v>
      </c>
      <c r="K26" s="15">
        <f t="shared" si="3"/>
        <v>0</v>
      </c>
      <c r="L26" s="77">
        <f t="shared" si="4"/>
        <v>0</v>
      </c>
      <c r="M26" s="78">
        <f t="shared" si="5"/>
        <v>0</v>
      </c>
      <c r="N26" s="26">
        <f>VLOOKUP($B26,'County Data'!$B$9:$P$46,14,FALSE)</f>
        <v>0</v>
      </c>
      <c r="O26" s="49">
        <f>IF(N26="Y",$C$3*Input!$C$40/36*O$4,0)</f>
        <v>0</v>
      </c>
      <c r="P26" s="15">
        <f t="shared" si="6"/>
        <v>0</v>
      </c>
      <c r="Q26" s="77">
        <f t="shared" si="7"/>
        <v>0</v>
      </c>
      <c r="R26" s="78">
        <f t="shared" si="8"/>
        <v>0</v>
      </c>
      <c r="S26" s="26">
        <f>VLOOKUP($B26,'County Data'!$B$9:$P$46,15,FALSE)</f>
        <v>0</v>
      </c>
      <c r="T26" s="49">
        <f>IF(S26="Y",$C$3*Input!$C$40/36*T$4,0)</f>
        <v>0</v>
      </c>
      <c r="U26" s="15">
        <f t="shared" si="9"/>
        <v>0</v>
      </c>
      <c r="V26" s="77">
        <f t="shared" si="10"/>
        <v>0</v>
      </c>
      <c r="W26" s="78">
        <f t="shared" si="11"/>
        <v>0</v>
      </c>
      <c r="X26" s="79">
        <f t="shared" si="12"/>
        <v>0</v>
      </c>
      <c r="Y26" s="48">
        <f t="shared" si="13"/>
        <v>0</v>
      </c>
    </row>
    <row r="27" spans="2:25">
      <c r="B27" s="20" t="str">
        <f>+'County Data'!$B$37</f>
        <v>Polk</v>
      </c>
      <c r="C27" s="15">
        <f>VLOOKUP($B27,'County Data'!$B$10:$P$46,2,FALSE)</f>
        <v>82100</v>
      </c>
      <c r="D27" s="26" t="str">
        <f>VLOOKUP($B27,'County Data'!$B$9:$P$46,12,FALSE)</f>
        <v>Y</v>
      </c>
      <c r="E27" s="77">
        <f>IF(D27="Y",$C$3*Input!$C$40/36*E$4,0)</f>
        <v>0</v>
      </c>
      <c r="F27" s="15">
        <f t="shared" si="0"/>
        <v>82100</v>
      </c>
      <c r="G27" s="77">
        <f t="shared" si="1"/>
        <v>0</v>
      </c>
      <c r="H27" s="78">
        <f t="shared" si="2"/>
        <v>0</v>
      </c>
      <c r="I27" s="26">
        <f>VLOOKUP($B27,'County Data'!$B$9:$P$46,13,FALSE)</f>
        <v>0</v>
      </c>
      <c r="J27" s="49">
        <f>IF(I27="Y",$C$3*Input!$C$40/36*J$4,0)</f>
        <v>0</v>
      </c>
      <c r="K27" s="15">
        <f t="shared" si="3"/>
        <v>0</v>
      </c>
      <c r="L27" s="77">
        <f t="shared" si="4"/>
        <v>0</v>
      </c>
      <c r="M27" s="78">
        <f t="shared" si="5"/>
        <v>0</v>
      </c>
      <c r="N27" s="26">
        <f>VLOOKUP($B27,'County Data'!$B$9:$P$46,14,FALSE)</f>
        <v>0</v>
      </c>
      <c r="O27" s="49">
        <f>IF(N27="Y",$C$3*Input!$C$40/36*O$4,0)</f>
        <v>0</v>
      </c>
      <c r="P27" s="15">
        <f t="shared" si="6"/>
        <v>0</v>
      </c>
      <c r="Q27" s="77">
        <f t="shared" si="7"/>
        <v>0</v>
      </c>
      <c r="R27" s="78">
        <f t="shared" si="8"/>
        <v>0</v>
      </c>
      <c r="S27" s="26">
        <f>VLOOKUP($B27,'County Data'!$B$9:$P$46,15,FALSE)</f>
        <v>0</v>
      </c>
      <c r="T27" s="49">
        <f>IF(S27="Y",$C$3*Input!$C$40/36*T$4,0)</f>
        <v>0</v>
      </c>
      <c r="U27" s="15">
        <f t="shared" si="9"/>
        <v>0</v>
      </c>
      <c r="V27" s="77">
        <f t="shared" si="10"/>
        <v>0</v>
      </c>
      <c r="W27" s="78">
        <f t="shared" si="11"/>
        <v>0</v>
      </c>
      <c r="X27" s="79">
        <f t="shared" si="12"/>
        <v>0</v>
      </c>
      <c r="Y27" s="48">
        <f t="shared" si="13"/>
        <v>0</v>
      </c>
    </row>
    <row r="28" spans="2:25">
      <c r="B28" s="20" t="str">
        <f>+'County Data'!$B$40</f>
        <v>Umatilla</v>
      </c>
      <c r="C28" s="15">
        <f>VLOOKUP($B28,'County Data'!$B$10:$P$46,2,FALSE)</f>
        <v>80765</v>
      </c>
      <c r="D28" s="26" t="str">
        <f>VLOOKUP($B28,'County Data'!$B$9:$P$46,12,FALSE)</f>
        <v>Y</v>
      </c>
      <c r="E28" s="77">
        <f>IF(D28="Y",$C$3*Input!$C$40/36*E$4,0)</f>
        <v>0</v>
      </c>
      <c r="F28" s="15">
        <f t="shared" si="0"/>
        <v>80765</v>
      </c>
      <c r="G28" s="77">
        <f t="shared" si="1"/>
        <v>0</v>
      </c>
      <c r="H28" s="78">
        <f t="shared" si="2"/>
        <v>0</v>
      </c>
      <c r="I28" s="26">
        <f>VLOOKUP($B28,'County Data'!$B$9:$P$46,13,FALSE)</f>
        <v>0</v>
      </c>
      <c r="J28" s="49">
        <f>IF(I28="Y",$C$3*Input!$C$40/36*J$4,0)</f>
        <v>0</v>
      </c>
      <c r="K28" s="15">
        <f t="shared" si="3"/>
        <v>0</v>
      </c>
      <c r="L28" s="77">
        <f t="shared" si="4"/>
        <v>0</v>
      </c>
      <c r="M28" s="78">
        <f t="shared" si="5"/>
        <v>0</v>
      </c>
      <c r="N28" s="26">
        <f>VLOOKUP($B28,'County Data'!$B$9:$P$46,14,FALSE)</f>
        <v>0</v>
      </c>
      <c r="O28" s="49">
        <f>IF(N28="Y",$C$3*Input!$C$40/36*O$4,0)</f>
        <v>0</v>
      </c>
      <c r="P28" s="15">
        <f t="shared" si="6"/>
        <v>0</v>
      </c>
      <c r="Q28" s="77">
        <f t="shared" si="7"/>
        <v>0</v>
      </c>
      <c r="R28" s="78">
        <f t="shared" si="8"/>
        <v>0</v>
      </c>
      <c r="S28" s="26">
        <f>VLOOKUP($B28,'County Data'!$B$9:$P$46,15,FALSE)</f>
        <v>0</v>
      </c>
      <c r="T28" s="49">
        <f>IF(S28="Y",$C$3*Input!$C$40/36*T$4,0)</f>
        <v>0</v>
      </c>
      <c r="U28" s="15">
        <f t="shared" si="9"/>
        <v>0</v>
      </c>
      <c r="V28" s="77">
        <f t="shared" si="10"/>
        <v>0</v>
      </c>
      <c r="W28" s="78">
        <f t="shared" si="11"/>
        <v>0</v>
      </c>
      <c r="X28" s="79">
        <f t="shared" si="12"/>
        <v>0</v>
      </c>
      <c r="Y28" s="48">
        <f t="shared" si="13"/>
        <v>0</v>
      </c>
    </row>
    <row r="29" spans="2:25">
      <c r="B29" s="20" t="str">
        <f>+'County Data'!$B$26</f>
        <v>Josephine</v>
      </c>
      <c r="C29" s="15">
        <f>VLOOKUP($B29,'County Data'!$B$10:$P$46,2,FALSE)</f>
        <v>86395</v>
      </c>
      <c r="D29" s="26" t="str">
        <f>VLOOKUP($B29,'County Data'!$B$9:$P$46,12,FALSE)</f>
        <v>Y</v>
      </c>
      <c r="E29" s="77">
        <f>IF(D29="Y",$C$3*Input!$C$40/36*E$4,0)</f>
        <v>0</v>
      </c>
      <c r="F29" s="15">
        <f t="shared" si="0"/>
        <v>86395</v>
      </c>
      <c r="G29" s="77">
        <f t="shared" si="1"/>
        <v>0</v>
      </c>
      <c r="H29" s="78">
        <f t="shared" si="2"/>
        <v>0</v>
      </c>
      <c r="I29" s="26">
        <f>VLOOKUP($B29,'County Data'!$B$9:$P$46,13,FALSE)</f>
        <v>0</v>
      </c>
      <c r="J29" s="49">
        <f>IF(I29="Y",$C$3*Input!$C$40/36*J$4,0)</f>
        <v>0</v>
      </c>
      <c r="K29" s="15">
        <f t="shared" si="3"/>
        <v>0</v>
      </c>
      <c r="L29" s="77">
        <f t="shared" si="4"/>
        <v>0</v>
      </c>
      <c r="M29" s="78">
        <f t="shared" si="5"/>
        <v>0</v>
      </c>
      <c r="N29" s="26">
        <f>VLOOKUP($B29,'County Data'!$B$9:$P$46,14,FALSE)</f>
        <v>0</v>
      </c>
      <c r="O29" s="49">
        <f>IF(N29="Y",$C$3*Input!$C$40/36*O$4,0)</f>
        <v>0</v>
      </c>
      <c r="P29" s="15">
        <f t="shared" si="6"/>
        <v>0</v>
      </c>
      <c r="Q29" s="77">
        <f t="shared" si="7"/>
        <v>0</v>
      </c>
      <c r="R29" s="78">
        <f t="shared" si="8"/>
        <v>0</v>
      </c>
      <c r="S29" s="26">
        <f>VLOOKUP($B29,'County Data'!$B$9:$P$46,15,FALSE)</f>
        <v>0</v>
      </c>
      <c r="T29" s="49">
        <f>IF(S29="Y",$C$3*Input!$C$40/36*T$4,0)</f>
        <v>0</v>
      </c>
      <c r="U29" s="15">
        <f t="shared" si="9"/>
        <v>0</v>
      </c>
      <c r="V29" s="77">
        <f t="shared" si="10"/>
        <v>0</v>
      </c>
      <c r="W29" s="78">
        <f t="shared" si="11"/>
        <v>0</v>
      </c>
      <c r="X29" s="79">
        <f t="shared" si="12"/>
        <v>0</v>
      </c>
      <c r="Y29" s="48">
        <f t="shared" si="13"/>
        <v>0</v>
      </c>
    </row>
    <row r="30" spans="2:25">
      <c r="B30" s="20" t="str">
        <f>+'County Data'!$B$11</f>
        <v>Benton</v>
      </c>
      <c r="C30" s="15">
        <f>VLOOKUP($B30,'County Data'!$B$10:$P$46,2,FALSE)</f>
        <v>93590</v>
      </c>
      <c r="D30" s="26" t="str">
        <f>VLOOKUP($B30,'County Data'!$B$9:$P$46,12,FALSE)</f>
        <v>Y</v>
      </c>
      <c r="E30" s="77">
        <f>IF(D30="Y",$C$3*Input!$C$40/36*E$4,0)</f>
        <v>0</v>
      </c>
      <c r="F30" s="15">
        <f t="shared" si="0"/>
        <v>93590</v>
      </c>
      <c r="G30" s="77">
        <f t="shared" si="1"/>
        <v>0</v>
      </c>
      <c r="H30" s="78">
        <f t="shared" si="2"/>
        <v>0</v>
      </c>
      <c r="I30" s="26">
        <f>VLOOKUP($B30,'County Data'!$B$9:$P$46,13,FALSE)</f>
        <v>0</v>
      </c>
      <c r="J30" s="49">
        <f>IF(I30="Y",$C$3*Input!$C$40/36*J$4,0)</f>
        <v>0</v>
      </c>
      <c r="K30" s="15">
        <f t="shared" si="3"/>
        <v>0</v>
      </c>
      <c r="L30" s="77">
        <f t="shared" si="4"/>
        <v>0</v>
      </c>
      <c r="M30" s="78">
        <f t="shared" si="5"/>
        <v>0</v>
      </c>
      <c r="N30" s="26">
        <f>VLOOKUP($B30,'County Data'!$B$9:$P$46,14,FALSE)</f>
        <v>0</v>
      </c>
      <c r="O30" s="49">
        <f>IF(N30="Y",$C$3*Input!$C$40/36*O$4,0)</f>
        <v>0</v>
      </c>
      <c r="P30" s="15">
        <f t="shared" si="6"/>
        <v>0</v>
      </c>
      <c r="Q30" s="77">
        <f t="shared" si="7"/>
        <v>0</v>
      </c>
      <c r="R30" s="78">
        <f t="shared" si="8"/>
        <v>0</v>
      </c>
      <c r="S30" s="26">
        <f>VLOOKUP($B30,'County Data'!$B$9:$P$46,15,FALSE)</f>
        <v>0</v>
      </c>
      <c r="T30" s="49">
        <f>IF(S30="Y",$C$3*Input!$C$40/36*T$4,0)</f>
        <v>0</v>
      </c>
      <c r="U30" s="15">
        <f t="shared" si="9"/>
        <v>0</v>
      </c>
      <c r="V30" s="77">
        <f t="shared" si="10"/>
        <v>0</v>
      </c>
      <c r="W30" s="78">
        <f t="shared" si="11"/>
        <v>0</v>
      </c>
      <c r="X30" s="79">
        <f t="shared" si="12"/>
        <v>0</v>
      </c>
      <c r="Y30" s="48">
        <f t="shared" si="13"/>
        <v>0</v>
      </c>
    </row>
    <row r="31" spans="2:25">
      <c r="B31" s="20" t="str">
        <f>+'County Data'!$B$46</f>
        <v>Yamhill</v>
      </c>
      <c r="C31" s="15">
        <f>VLOOKUP($B31,'County Data'!$B$10:$P$46,2,FALSE)</f>
        <v>107415</v>
      </c>
      <c r="D31" s="26" t="str">
        <f>VLOOKUP($B31,'County Data'!$B$9:$P$46,12,FALSE)</f>
        <v>Y</v>
      </c>
      <c r="E31" s="77">
        <f>IF(D31="Y",$C$3*Input!$C$40/36*E$4,0)</f>
        <v>0</v>
      </c>
      <c r="F31" s="15">
        <f t="shared" si="0"/>
        <v>107415</v>
      </c>
      <c r="G31" s="77">
        <f t="shared" si="1"/>
        <v>0</v>
      </c>
      <c r="H31" s="78">
        <f t="shared" si="2"/>
        <v>0</v>
      </c>
      <c r="I31" s="26">
        <f>VLOOKUP($B31,'County Data'!$B$9:$P$46,13,FALSE)</f>
        <v>0</v>
      </c>
      <c r="J31" s="49">
        <f>IF(I31="Y",$C$3*Input!$C$40/36*J$4,0)</f>
        <v>0</v>
      </c>
      <c r="K31" s="15">
        <f t="shared" si="3"/>
        <v>0</v>
      </c>
      <c r="L31" s="77">
        <f t="shared" si="4"/>
        <v>0</v>
      </c>
      <c r="M31" s="78">
        <f t="shared" si="5"/>
        <v>0</v>
      </c>
      <c r="N31" s="26">
        <f>VLOOKUP($B31,'County Data'!$B$9:$P$46,14,FALSE)</f>
        <v>0</v>
      </c>
      <c r="O31" s="49">
        <f>IF(N31="Y",$C$3*Input!$C$40/36*O$4,0)</f>
        <v>0</v>
      </c>
      <c r="P31" s="15">
        <f t="shared" si="6"/>
        <v>0</v>
      </c>
      <c r="Q31" s="77">
        <f t="shared" si="7"/>
        <v>0</v>
      </c>
      <c r="R31" s="78">
        <f t="shared" si="8"/>
        <v>0</v>
      </c>
      <c r="S31" s="26">
        <f>VLOOKUP($B31,'County Data'!$B$9:$P$46,15,FALSE)</f>
        <v>0</v>
      </c>
      <c r="T31" s="49">
        <f>IF(S31="Y",$C$3*Input!$C$40/36*T$4,0)</f>
        <v>0</v>
      </c>
      <c r="U31" s="15">
        <f t="shared" si="9"/>
        <v>0</v>
      </c>
      <c r="V31" s="77">
        <f t="shared" si="10"/>
        <v>0</v>
      </c>
      <c r="W31" s="78">
        <f t="shared" si="11"/>
        <v>0</v>
      </c>
      <c r="X31" s="79">
        <f t="shared" si="12"/>
        <v>0</v>
      </c>
      <c r="Y31" s="48">
        <f t="shared" si="13"/>
        <v>0</v>
      </c>
    </row>
    <row r="32" spans="2:25">
      <c r="B32" s="20" t="str">
        <f>+'County Data'!$B$19</f>
        <v>Douglas</v>
      </c>
      <c r="C32" s="15">
        <f>VLOOKUP($B32,'County Data'!$B$10:$P$46,2,FALSE)</f>
        <v>111735</v>
      </c>
      <c r="D32" s="26" t="str">
        <f>VLOOKUP($B32,'County Data'!$B$9:$P$46,12,FALSE)</f>
        <v>Y</v>
      </c>
      <c r="E32" s="77">
        <f>IF(D32="Y",$C$3*Input!$C$40/36*E$4,0)</f>
        <v>0</v>
      </c>
      <c r="F32" s="15">
        <f t="shared" si="0"/>
        <v>111735</v>
      </c>
      <c r="G32" s="77">
        <f t="shared" si="1"/>
        <v>0</v>
      </c>
      <c r="H32" s="78">
        <f t="shared" si="2"/>
        <v>0</v>
      </c>
      <c r="I32" s="26">
        <f>VLOOKUP($B32,'County Data'!$B$9:$P$46,13,FALSE)</f>
        <v>0</v>
      </c>
      <c r="J32" s="49">
        <f>IF(I32="Y",$C$3*Input!$C$40/36*J$4,0)</f>
        <v>0</v>
      </c>
      <c r="K32" s="15">
        <f t="shared" si="3"/>
        <v>0</v>
      </c>
      <c r="L32" s="77">
        <f t="shared" si="4"/>
        <v>0</v>
      </c>
      <c r="M32" s="78">
        <f t="shared" si="5"/>
        <v>0</v>
      </c>
      <c r="N32" s="26">
        <f>VLOOKUP($B32,'County Data'!$B$9:$P$46,14,FALSE)</f>
        <v>0</v>
      </c>
      <c r="O32" s="49">
        <f>IF(N32="Y",$C$3*Input!$C$40/36*O$4,0)</f>
        <v>0</v>
      </c>
      <c r="P32" s="15">
        <f t="shared" si="6"/>
        <v>0</v>
      </c>
      <c r="Q32" s="77">
        <f t="shared" si="7"/>
        <v>0</v>
      </c>
      <c r="R32" s="78">
        <f t="shared" si="8"/>
        <v>0</v>
      </c>
      <c r="S32" s="26">
        <f>VLOOKUP($B32,'County Data'!$B$9:$P$46,15,FALSE)</f>
        <v>0</v>
      </c>
      <c r="T32" s="49">
        <f>IF(S32="Y",$C$3*Input!$C$40/36*T$4,0)</f>
        <v>0</v>
      </c>
      <c r="U32" s="15">
        <f t="shared" si="9"/>
        <v>0</v>
      </c>
      <c r="V32" s="77">
        <f t="shared" si="10"/>
        <v>0</v>
      </c>
      <c r="W32" s="78">
        <f t="shared" si="11"/>
        <v>0</v>
      </c>
      <c r="X32" s="79">
        <f t="shared" si="12"/>
        <v>0</v>
      </c>
      <c r="Y32" s="48">
        <f t="shared" si="13"/>
        <v>0</v>
      </c>
    </row>
    <row r="33" spans="2:25">
      <c r="B33" s="20" t="str">
        <f>+'County Data'!$B$31</f>
        <v>Linn</v>
      </c>
      <c r="C33" s="15">
        <f>VLOOKUP($B33,'County Data'!$B$10:$P$46,2,FALSE)</f>
        <v>125575</v>
      </c>
      <c r="D33" s="26" t="str">
        <f>VLOOKUP($B33,'County Data'!$B$9:$P$46,12,FALSE)</f>
        <v>Y</v>
      </c>
      <c r="E33" s="77">
        <f>IF(D33="Y",$C$3*Input!$C$40/36*E$4,0)</f>
        <v>0</v>
      </c>
      <c r="F33" s="15">
        <f t="shared" si="0"/>
        <v>125575</v>
      </c>
      <c r="G33" s="77">
        <f t="shared" si="1"/>
        <v>0</v>
      </c>
      <c r="H33" s="78">
        <f t="shared" si="2"/>
        <v>0</v>
      </c>
      <c r="I33" s="26">
        <f>VLOOKUP($B33,'County Data'!$B$9:$P$46,13,FALSE)</f>
        <v>0</v>
      </c>
      <c r="J33" s="49">
        <f>IF(I33="Y",$C$3*Input!$C$40/36*J$4,0)</f>
        <v>0</v>
      </c>
      <c r="K33" s="15">
        <f t="shared" si="3"/>
        <v>0</v>
      </c>
      <c r="L33" s="77">
        <f t="shared" si="4"/>
        <v>0</v>
      </c>
      <c r="M33" s="78">
        <f t="shared" si="5"/>
        <v>0</v>
      </c>
      <c r="N33" s="26">
        <f>VLOOKUP($B33,'County Data'!$B$9:$P$46,14,FALSE)</f>
        <v>0</v>
      </c>
      <c r="O33" s="49">
        <f>IF(N33="Y",$C$3*Input!$C$40/36*O$4,0)</f>
        <v>0</v>
      </c>
      <c r="P33" s="15">
        <f t="shared" si="6"/>
        <v>0</v>
      </c>
      <c r="Q33" s="77">
        <f t="shared" si="7"/>
        <v>0</v>
      </c>
      <c r="R33" s="78">
        <f t="shared" si="8"/>
        <v>0</v>
      </c>
      <c r="S33" s="26">
        <f>VLOOKUP($B33,'County Data'!$B$9:$P$46,15,FALSE)</f>
        <v>0</v>
      </c>
      <c r="T33" s="49">
        <f>IF(S33="Y",$C$3*Input!$C$40/36*T$4,0)</f>
        <v>0</v>
      </c>
      <c r="U33" s="15">
        <f t="shared" si="9"/>
        <v>0</v>
      </c>
      <c r="V33" s="77">
        <f t="shared" si="10"/>
        <v>0</v>
      </c>
      <c r="W33" s="78">
        <f t="shared" si="11"/>
        <v>0</v>
      </c>
      <c r="X33" s="79">
        <f t="shared" si="12"/>
        <v>0</v>
      </c>
      <c r="Y33" s="48">
        <f t="shared" si="13"/>
        <v>0</v>
      </c>
    </row>
    <row r="34" spans="2:25">
      <c r="B34" s="20" t="str">
        <f>+'County Data'!$B$18</f>
        <v>Deschutes</v>
      </c>
      <c r="C34" s="15">
        <f>VLOOKUP($B34,'County Data'!$B$10:$P$46,2,FALSE)</f>
        <v>188980</v>
      </c>
      <c r="D34" s="26" t="str">
        <f>VLOOKUP($B34,'County Data'!$B$9:$P$46,12,FALSE)</f>
        <v>Y</v>
      </c>
      <c r="E34" s="77">
        <f>IF(D34="Y",$C$3*Input!$C$40/36*E$4,0)</f>
        <v>0</v>
      </c>
      <c r="F34" s="15">
        <f t="shared" si="0"/>
        <v>188980</v>
      </c>
      <c r="G34" s="77">
        <f t="shared" si="1"/>
        <v>0</v>
      </c>
      <c r="H34" s="78">
        <f t="shared" si="2"/>
        <v>0</v>
      </c>
      <c r="I34" s="26">
        <f>VLOOKUP($B34,'County Data'!$B$9:$P$46,13,FALSE)</f>
        <v>0</v>
      </c>
      <c r="J34" s="49">
        <f>IF(I34="Y",$C$3*Input!$C$40/36*J$4,0)</f>
        <v>0</v>
      </c>
      <c r="K34" s="15">
        <f t="shared" si="3"/>
        <v>0</v>
      </c>
      <c r="L34" s="77">
        <f t="shared" si="4"/>
        <v>0</v>
      </c>
      <c r="M34" s="78">
        <f t="shared" si="5"/>
        <v>0</v>
      </c>
      <c r="N34" s="26">
        <f>VLOOKUP($B34,'County Data'!$B$9:$P$46,14,FALSE)</f>
        <v>0</v>
      </c>
      <c r="O34" s="49">
        <f>IF(N34="Y",$C$3*Input!$C$40/36*O$4,0)</f>
        <v>0</v>
      </c>
      <c r="P34" s="15">
        <f t="shared" si="6"/>
        <v>0</v>
      </c>
      <c r="Q34" s="77">
        <f t="shared" si="7"/>
        <v>0</v>
      </c>
      <c r="R34" s="78">
        <f t="shared" si="8"/>
        <v>0</v>
      </c>
      <c r="S34" s="26">
        <f>VLOOKUP($B34,'County Data'!$B$9:$P$46,15,FALSE)</f>
        <v>0</v>
      </c>
      <c r="T34" s="49">
        <f>IF(S34="Y",$C$3*Input!$C$40/36*T$4,0)</f>
        <v>0</v>
      </c>
      <c r="U34" s="15">
        <f t="shared" si="9"/>
        <v>0</v>
      </c>
      <c r="V34" s="77">
        <f t="shared" si="10"/>
        <v>0</v>
      </c>
      <c r="W34" s="78">
        <f t="shared" si="11"/>
        <v>0</v>
      </c>
      <c r="X34" s="79">
        <f t="shared" si="12"/>
        <v>0</v>
      </c>
      <c r="Y34" s="48">
        <f t="shared" si="13"/>
        <v>0</v>
      </c>
    </row>
    <row r="35" spans="2:25">
      <c r="B35" s="20" t="str">
        <f>+'County Data'!$B$24</f>
        <v>Jackson</v>
      </c>
      <c r="C35" s="15">
        <f>VLOOKUP($B35,'County Data'!$B$10:$P$46,2,FALSE)</f>
        <v>219200</v>
      </c>
      <c r="D35" s="26" t="str">
        <f>VLOOKUP($B35,'County Data'!$B$9:$P$46,12,FALSE)</f>
        <v>Y</v>
      </c>
      <c r="E35" s="77">
        <f>IF(D35="Y",$C$3*Input!$C$40/36*E$4,0)</f>
        <v>0</v>
      </c>
      <c r="F35" s="15">
        <f t="shared" si="0"/>
        <v>219200</v>
      </c>
      <c r="G35" s="77">
        <f t="shared" si="1"/>
        <v>0</v>
      </c>
      <c r="H35" s="78">
        <f t="shared" si="2"/>
        <v>0</v>
      </c>
      <c r="I35" s="26">
        <f>VLOOKUP($B35,'County Data'!$B$9:$P$46,13,FALSE)</f>
        <v>0</v>
      </c>
      <c r="J35" s="49">
        <f>IF(I35="Y",$C$3*Input!$C$40/36*J$4,0)</f>
        <v>0</v>
      </c>
      <c r="K35" s="15">
        <f t="shared" si="3"/>
        <v>0</v>
      </c>
      <c r="L35" s="77">
        <f t="shared" si="4"/>
        <v>0</v>
      </c>
      <c r="M35" s="78">
        <f t="shared" si="5"/>
        <v>0</v>
      </c>
      <c r="N35" s="26">
        <f>VLOOKUP($B35,'County Data'!$B$9:$P$46,14,FALSE)</f>
        <v>0</v>
      </c>
      <c r="O35" s="49">
        <f>IF(N35="Y",$C$3*Input!$C$40/36*O$4,0)</f>
        <v>0</v>
      </c>
      <c r="P35" s="15">
        <f t="shared" si="6"/>
        <v>0</v>
      </c>
      <c r="Q35" s="77">
        <f t="shared" si="7"/>
        <v>0</v>
      </c>
      <c r="R35" s="78">
        <f t="shared" si="8"/>
        <v>0</v>
      </c>
      <c r="S35" s="26">
        <f>VLOOKUP($B35,'County Data'!$B$9:$P$46,15,FALSE)</f>
        <v>0</v>
      </c>
      <c r="T35" s="49">
        <f>IF(S35="Y",$C$3*Input!$C$40/36*T$4,0)</f>
        <v>0</v>
      </c>
      <c r="U35" s="15">
        <f t="shared" si="9"/>
        <v>0</v>
      </c>
      <c r="V35" s="77">
        <f t="shared" si="10"/>
        <v>0</v>
      </c>
      <c r="W35" s="78">
        <f t="shared" si="11"/>
        <v>0</v>
      </c>
      <c r="X35" s="79">
        <f t="shared" si="12"/>
        <v>0</v>
      </c>
      <c r="Y35" s="48">
        <f t="shared" si="13"/>
        <v>0</v>
      </c>
    </row>
    <row r="36" spans="2:25">
      <c r="B36" s="20" t="str">
        <f>+'County Data'!$B$33</f>
        <v>Marion</v>
      </c>
      <c r="C36" s="15">
        <f>VLOOKUP($B36,'County Data'!$B$10:$P$46,2,FALSE)</f>
        <v>344035</v>
      </c>
      <c r="D36" s="26" t="str">
        <f>VLOOKUP($B36,'County Data'!$B$9:$P$46,12,FALSE)</f>
        <v>Y</v>
      </c>
      <c r="E36" s="77">
        <f>IF(D36="Y",$C$3*Input!$C$40/36*E$4,0)</f>
        <v>0</v>
      </c>
      <c r="F36" s="15">
        <f t="shared" si="0"/>
        <v>344035</v>
      </c>
      <c r="G36" s="77">
        <f t="shared" si="1"/>
        <v>0</v>
      </c>
      <c r="H36" s="78">
        <f t="shared" si="2"/>
        <v>0</v>
      </c>
      <c r="I36" s="26">
        <f>VLOOKUP($B36,'County Data'!$B$9:$P$46,13,FALSE)</f>
        <v>0</v>
      </c>
      <c r="J36" s="49">
        <f>IF(I36="Y",$C$3*Input!$C$40/36*J$4,0)</f>
        <v>0</v>
      </c>
      <c r="K36" s="15">
        <f t="shared" si="3"/>
        <v>0</v>
      </c>
      <c r="L36" s="77">
        <f t="shared" si="4"/>
        <v>0</v>
      </c>
      <c r="M36" s="78">
        <f t="shared" si="5"/>
        <v>0</v>
      </c>
      <c r="N36" s="26">
        <f>VLOOKUP($B36,'County Data'!$B$9:$P$46,14,FALSE)</f>
        <v>0</v>
      </c>
      <c r="O36" s="49">
        <f>IF(N36="Y",$C$3*Input!$C$40/36*O$4,0)</f>
        <v>0</v>
      </c>
      <c r="P36" s="15">
        <f t="shared" si="6"/>
        <v>0</v>
      </c>
      <c r="Q36" s="77">
        <f t="shared" si="7"/>
        <v>0</v>
      </c>
      <c r="R36" s="78">
        <f t="shared" si="8"/>
        <v>0</v>
      </c>
      <c r="S36" s="26">
        <f>VLOOKUP($B36,'County Data'!$B$9:$P$46,15,FALSE)</f>
        <v>0</v>
      </c>
      <c r="T36" s="49">
        <f>IF(S36="Y",$C$3*Input!$C$40/36*T$4,0)</f>
        <v>0</v>
      </c>
      <c r="U36" s="15">
        <f t="shared" si="9"/>
        <v>0</v>
      </c>
      <c r="V36" s="77">
        <f t="shared" si="10"/>
        <v>0</v>
      </c>
      <c r="W36" s="78">
        <f t="shared" si="11"/>
        <v>0</v>
      </c>
      <c r="X36" s="79">
        <f t="shared" si="12"/>
        <v>0</v>
      </c>
      <c r="Y36" s="48">
        <f t="shared" si="13"/>
        <v>0</v>
      </c>
    </row>
    <row r="37" spans="2:25">
      <c r="B37" s="20" t="str">
        <f>+'County Data'!$B$29</f>
        <v>Lane</v>
      </c>
      <c r="C37" s="15">
        <f>VLOOKUP($B37,'County Data'!$B$10:$P$46,2,FALSE)</f>
        <v>375120</v>
      </c>
      <c r="D37" s="26" t="str">
        <f>VLOOKUP($B37,'County Data'!$B$9:$P$46,12,FALSE)</f>
        <v>Y</v>
      </c>
      <c r="E37" s="77">
        <f>IF(D37="Y",$C$3*Input!$C$40/36*E$4,0)</f>
        <v>0</v>
      </c>
      <c r="F37" s="15">
        <f t="shared" si="0"/>
        <v>375120</v>
      </c>
      <c r="G37" s="77">
        <f t="shared" si="1"/>
        <v>0</v>
      </c>
      <c r="H37" s="78">
        <f t="shared" si="2"/>
        <v>0</v>
      </c>
      <c r="I37" s="26">
        <f>VLOOKUP($B37,'County Data'!$B$9:$P$46,13,FALSE)</f>
        <v>0</v>
      </c>
      <c r="J37" s="49">
        <f>IF(I37="Y",$C$3*Input!$C$40/36*J$4,0)</f>
        <v>0</v>
      </c>
      <c r="K37" s="15">
        <f t="shared" si="3"/>
        <v>0</v>
      </c>
      <c r="L37" s="77">
        <f t="shared" si="4"/>
        <v>0</v>
      </c>
      <c r="M37" s="78">
        <f t="shared" si="5"/>
        <v>0</v>
      </c>
      <c r="N37" s="26">
        <f>VLOOKUP($B37,'County Data'!$B$9:$P$46,14,FALSE)</f>
        <v>0</v>
      </c>
      <c r="O37" s="49">
        <f>IF(N37="Y",$C$3*Input!$C$40/36*O$4,0)</f>
        <v>0</v>
      </c>
      <c r="P37" s="15">
        <f t="shared" si="6"/>
        <v>0</v>
      </c>
      <c r="Q37" s="77">
        <f t="shared" si="7"/>
        <v>0</v>
      </c>
      <c r="R37" s="78">
        <f t="shared" si="8"/>
        <v>0</v>
      </c>
      <c r="S37" s="26">
        <f>VLOOKUP($B37,'County Data'!$B$9:$P$46,15,FALSE)</f>
        <v>0</v>
      </c>
      <c r="T37" s="49">
        <f>IF(S37="Y",$C$3*Input!$C$40/36*T$4,0)</f>
        <v>0</v>
      </c>
      <c r="U37" s="15">
        <f t="shared" si="9"/>
        <v>0</v>
      </c>
      <c r="V37" s="77">
        <f t="shared" si="10"/>
        <v>0</v>
      </c>
      <c r="W37" s="78">
        <f t="shared" si="11"/>
        <v>0</v>
      </c>
      <c r="X37" s="79">
        <f t="shared" si="12"/>
        <v>0</v>
      </c>
      <c r="Y37" s="48">
        <f t="shared" si="13"/>
        <v>0</v>
      </c>
    </row>
    <row r="38" spans="2:25">
      <c r="B38" s="20" t="str">
        <f>+'County Data'!$B$12</f>
        <v>Clackamas</v>
      </c>
      <c r="C38" s="15">
        <f>VLOOKUP($B38,'County Data'!$B$10:$P$46,2,FALSE)</f>
        <v>419425</v>
      </c>
      <c r="D38" s="26" t="str">
        <f>VLOOKUP($B38,'County Data'!$B$9:$P$46,12,FALSE)</f>
        <v>Y</v>
      </c>
      <c r="E38" s="77">
        <f>IF(D38="Y",$C$3*Input!$C$40/36*E$4,0)</f>
        <v>0</v>
      </c>
      <c r="F38" s="15">
        <f t="shared" si="0"/>
        <v>419425</v>
      </c>
      <c r="G38" s="77">
        <f t="shared" si="1"/>
        <v>0</v>
      </c>
      <c r="H38" s="78">
        <f t="shared" si="2"/>
        <v>0</v>
      </c>
      <c r="I38" s="26">
        <f>VLOOKUP($B38,'County Data'!$B$9:$P$46,13,FALSE)</f>
        <v>0</v>
      </c>
      <c r="J38" s="49">
        <f>IF(I38="Y",$C$3*Input!$C$40/36*J$4,0)</f>
        <v>0</v>
      </c>
      <c r="K38" s="15">
        <f t="shared" si="3"/>
        <v>0</v>
      </c>
      <c r="L38" s="77">
        <f t="shared" si="4"/>
        <v>0</v>
      </c>
      <c r="M38" s="78">
        <f t="shared" si="5"/>
        <v>0</v>
      </c>
      <c r="N38" s="26">
        <f>VLOOKUP($B38,'County Data'!$B$9:$P$46,14,FALSE)</f>
        <v>0</v>
      </c>
      <c r="O38" s="49">
        <f>IF(N38="Y",$C$3*Input!$C$40/36*O$4,0)</f>
        <v>0</v>
      </c>
      <c r="P38" s="15">
        <f t="shared" si="6"/>
        <v>0</v>
      </c>
      <c r="Q38" s="77">
        <f t="shared" si="7"/>
        <v>0</v>
      </c>
      <c r="R38" s="78">
        <f t="shared" si="8"/>
        <v>0</v>
      </c>
      <c r="S38" s="26">
        <f>VLOOKUP($B38,'County Data'!$B$9:$P$46,15,FALSE)</f>
        <v>0</v>
      </c>
      <c r="T38" s="49">
        <f>IF(S38="Y",$C$3*Input!$C$40/36*T$4,0)</f>
        <v>0</v>
      </c>
      <c r="U38" s="15">
        <f t="shared" si="9"/>
        <v>0</v>
      </c>
      <c r="V38" s="77">
        <f t="shared" si="10"/>
        <v>0</v>
      </c>
      <c r="W38" s="78">
        <f t="shared" si="11"/>
        <v>0</v>
      </c>
      <c r="X38" s="79">
        <f t="shared" si="12"/>
        <v>0</v>
      </c>
      <c r="Y38" s="48">
        <f t="shared" si="13"/>
        <v>0</v>
      </c>
    </row>
    <row r="39" spans="2:25">
      <c r="B39" s="20" t="str">
        <f>+'County Data'!$B$44</f>
        <v>Washington</v>
      </c>
      <c r="C39" s="15">
        <f>VLOOKUP($B39,'County Data'!$B$10:$P$46,2,FALSE)</f>
        <v>606280</v>
      </c>
      <c r="D39" s="26" t="str">
        <f>VLOOKUP($B39,'County Data'!$B$9:$P$46,12,FALSE)</f>
        <v>Y</v>
      </c>
      <c r="E39" s="77">
        <f>IF(D39="Y",$C$3*Input!$C$40/36*E$4,0)</f>
        <v>0</v>
      </c>
      <c r="F39" s="15">
        <f t="shared" si="0"/>
        <v>606280</v>
      </c>
      <c r="G39" s="77">
        <f t="shared" si="1"/>
        <v>0</v>
      </c>
      <c r="H39" s="78">
        <f t="shared" si="2"/>
        <v>0</v>
      </c>
      <c r="I39" s="26">
        <f>VLOOKUP($B39,'County Data'!$B$9:$P$46,13,FALSE)</f>
        <v>0</v>
      </c>
      <c r="J39" s="49">
        <f>IF(I39="Y",$C$3*Input!$C$40/36*J$4,0)</f>
        <v>0</v>
      </c>
      <c r="K39" s="15">
        <f t="shared" si="3"/>
        <v>0</v>
      </c>
      <c r="L39" s="77">
        <f t="shared" si="4"/>
        <v>0</v>
      </c>
      <c r="M39" s="78">
        <f t="shared" si="5"/>
        <v>0</v>
      </c>
      <c r="N39" s="26">
        <f>VLOOKUP($B39,'County Data'!$B$9:$P$46,14,FALSE)</f>
        <v>0</v>
      </c>
      <c r="O39" s="49">
        <f>IF(N39="Y",$C$3*Input!$C$40/36*O$4,0)</f>
        <v>0</v>
      </c>
      <c r="P39" s="15">
        <f t="shared" si="6"/>
        <v>0</v>
      </c>
      <c r="Q39" s="77">
        <f t="shared" si="7"/>
        <v>0</v>
      </c>
      <c r="R39" s="78">
        <f t="shared" si="8"/>
        <v>0</v>
      </c>
      <c r="S39" s="26">
        <f>VLOOKUP($B39,'County Data'!$B$9:$P$46,15,FALSE)</f>
        <v>0</v>
      </c>
      <c r="T39" s="49">
        <f>IF(S39="Y",$C$3*Input!$C$40/36*T$4,0)</f>
        <v>0</v>
      </c>
      <c r="U39" s="15">
        <f t="shared" si="9"/>
        <v>0</v>
      </c>
      <c r="V39" s="77">
        <f t="shared" si="10"/>
        <v>0</v>
      </c>
      <c r="W39" s="78">
        <f t="shared" si="11"/>
        <v>0</v>
      </c>
      <c r="X39" s="79">
        <f t="shared" si="12"/>
        <v>0</v>
      </c>
      <c r="Y39" s="48">
        <f t="shared" si="13"/>
        <v>0</v>
      </c>
    </row>
    <row r="40" spans="2:25">
      <c r="B40" s="20" t="str">
        <f>+'County Data'!$B$35</f>
        <v>Multnomah</v>
      </c>
      <c r="C40" s="15">
        <f>VLOOKUP($B40,'County Data'!$B$10:$P$46,2,FALSE)</f>
        <v>813300</v>
      </c>
      <c r="D40" s="26" t="str">
        <f>VLOOKUP($B40,'County Data'!$B$9:$P$46,12,FALSE)</f>
        <v>Y</v>
      </c>
      <c r="E40" s="77">
        <f>IF(D40="Y",$C$3*Input!$C$40/36*E$4,0)</f>
        <v>0</v>
      </c>
      <c r="F40" s="15">
        <f t="shared" si="0"/>
        <v>813300</v>
      </c>
      <c r="G40" s="77">
        <f t="shared" si="1"/>
        <v>0</v>
      </c>
      <c r="H40" s="78">
        <f t="shared" si="2"/>
        <v>0</v>
      </c>
      <c r="I40" s="26">
        <f>VLOOKUP($B40,'County Data'!$B$9:$P$46,13,FALSE)</f>
        <v>0</v>
      </c>
      <c r="J40" s="49">
        <f>IF(I40="Y",$C$3*Input!$C$40/36*J$4,0)</f>
        <v>0</v>
      </c>
      <c r="K40" s="15">
        <f t="shared" si="3"/>
        <v>0</v>
      </c>
      <c r="L40" s="77">
        <f t="shared" si="4"/>
        <v>0</v>
      </c>
      <c r="M40" s="78">
        <f t="shared" si="5"/>
        <v>0</v>
      </c>
      <c r="N40" s="26">
        <f>VLOOKUP($B40,'County Data'!$B$9:$P$46,14,FALSE)</f>
        <v>0</v>
      </c>
      <c r="O40" s="49">
        <f>IF(N40="Y",$C$3*Input!$C$40/36*O$4,0)</f>
        <v>0</v>
      </c>
      <c r="P40" s="15">
        <f t="shared" si="6"/>
        <v>0</v>
      </c>
      <c r="Q40" s="77">
        <f t="shared" si="7"/>
        <v>0</v>
      </c>
      <c r="R40" s="78">
        <f t="shared" si="8"/>
        <v>0</v>
      </c>
      <c r="S40" s="26">
        <f>VLOOKUP($B40,'County Data'!$B$9:$P$46,15,FALSE)</f>
        <v>0</v>
      </c>
      <c r="T40" s="49">
        <f>IF(S40="Y",$C$3*Input!$C$40/36*T$4,0)</f>
        <v>0</v>
      </c>
      <c r="U40" s="15">
        <f t="shared" si="9"/>
        <v>0</v>
      </c>
      <c r="V40" s="77">
        <f t="shared" si="10"/>
        <v>0</v>
      </c>
      <c r="W40" s="78">
        <f t="shared" si="11"/>
        <v>0</v>
      </c>
      <c r="X40" s="79">
        <f t="shared" si="12"/>
        <v>0</v>
      </c>
      <c r="Y40" s="48">
        <f t="shared" si="13"/>
        <v>0</v>
      </c>
    </row>
    <row r="41" spans="2:25">
      <c r="B41" s="4" t="s">
        <v>2</v>
      </c>
      <c r="C41" s="5">
        <f t="shared" ref="C41:H41" si="14">SUM(C7:C40)</f>
        <v>4195300</v>
      </c>
      <c r="D41" s="5">
        <f>COUNTIF(D7:D40,"Y")</f>
        <v>34</v>
      </c>
      <c r="E41" s="76">
        <f t="shared" si="14"/>
        <v>0</v>
      </c>
      <c r="F41" s="5">
        <f t="shared" si="14"/>
        <v>4195300</v>
      </c>
      <c r="G41" s="76">
        <f t="shared" si="14"/>
        <v>0</v>
      </c>
      <c r="H41" s="76">
        <f t="shared" si="14"/>
        <v>0</v>
      </c>
      <c r="I41" s="5">
        <f>COUNTIF(I7:I40,"Y")</f>
        <v>0</v>
      </c>
      <c r="J41" s="76">
        <f>SUM(J7:J40)</f>
        <v>0</v>
      </c>
      <c r="K41" s="72">
        <f>SUM(K7:K40)+0.001</f>
        <v>1E-3</v>
      </c>
      <c r="L41" s="76">
        <f>SUM(L7:L40)</f>
        <v>0</v>
      </c>
      <c r="M41" s="76">
        <f>SUM(M7:M40)</f>
        <v>0</v>
      </c>
      <c r="N41" s="5">
        <f>COUNTIF(N7:N40,"Y")</f>
        <v>0</v>
      </c>
      <c r="O41" s="76">
        <f>SUM(O7:O40)</f>
        <v>0</v>
      </c>
      <c r="P41" s="72">
        <f>SUM(P7:P40)+0.001</f>
        <v>1E-3</v>
      </c>
      <c r="Q41" s="76">
        <f>SUM(Q7:Q40)</f>
        <v>0</v>
      </c>
      <c r="R41" s="76">
        <f>SUM(R7:R40)</f>
        <v>0</v>
      </c>
      <c r="S41" s="5">
        <f>COUNTIF(S7:S40,"Y")</f>
        <v>0</v>
      </c>
      <c r="T41" s="76">
        <f>SUM(T7:T40)</f>
        <v>0</v>
      </c>
      <c r="U41" s="72">
        <f>SUM(U7:U40)+0.001</f>
        <v>1E-3</v>
      </c>
      <c r="V41" s="76">
        <f>SUM(V7:V40)</f>
        <v>0</v>
      </c>
      <c r="W41" s="76">
        <f>SUM(W7:W40)</f>
        <v>0</v>
      </c>
      <c r="X41" s="76">
        <f>SUM(X7:X40)</f>
        <v>0</v>
      </c>
      <c r="Y41" s="75">
        <f t="shared" si="13"/>
        <v>0</v>
      </c>
    </row>
    <row r="42" spans="2:25">
      <c r="E42" s="38"/>
    </row>
  </sheetData>
  <sortState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53"/>
  <sheetViews>
    <sheetView showGridLines="0" tabSelected="1" topLeftCell="A5" zoomScale="80" zoomScaleNormal="80" zoomScalePageLayoutView="80" workbookViewId="0">
      <selection activeCell="N46" sqref="N46"/>
    </sheetView>
  </sheetViews>
  <sheetFormatPr baseColWidth="10" defaultColWidth="8.83203125" defaultRowHeight="14" x14ac:dyDescent="0"/>
  <cols>
    <col min="1" max="1" width="3" bestFit="1" customWidth="1"/>
    <col min="2" max="2" width="22" customWidth="1"/>
    <col min="3" max="4" width="14.33203125" customWidth="1"/>
    <col min="5" max="5" width="14.33203125" hidden="1" customWidth="1"/>
    <col min="6" max="11" width="14.33203125" customWidth="1"/>
    <col min="12" max="12" width="16.5" bestFit="1" customWidth="1"/>
    <col min="13" max="14" width="14.33203125" customWidth="1"/>
    <col min="15" max="15" width="13.5" bestFit="1" customWidth="1"/>
    <col min="16" max="16" width="11.5" bestFit="1" customWidth="1"/>
    <col min="17" max="17" width="11" customWidth="1"/>
    <col min="18" max="18" width="10.1640625" bestFit="1" customWidth="1"/>
    <col min="19" max="19" width="11.83203125" customWidth="1"/>
  </cols>
  <sheetData>
    <row r="1" spans="2:22" ht="15" hidden="1" customHeight="1"/>
    <row r="2" spans="2:22" hidden="1"/>
    <row r="3" spans="2:22" hidden="1"/>
    <row r="4" spans="2:22" hidden="1"/>
    <row r="5" spans="2:22" ht="18">
      <c r="B5" s="24" t="s">
        <v>140</v>
      </c>
      <c r="C5" s="24"/>
    </row>
    <row r="6" spans="2:22" ht="18">
      <c r="B6" s="186" t="s">
        <v>132</v>
      </c>
      <c r="C6" s="186"/>
      <c r="D6" s="187"/>
      <c r="E6" s="95"/>
      <c r="F6" s="187"/>
      <c r="G6" s="187"/>
    </row>
    <row r="7" spans="2:22" ht="18">
      <c r="B7" s="191" t="s">
        <v>141</v>
      </c>
      <c r="C7" s="23"/>
    </row>
    <row r="8" spans="2:22" ht="15">
      <c r="B8" s="23"/>
      <c r="C8" s="23"/>
    </row>
    <row r="9" spans="2:22" ht="18">
      <c r="B9" s="192" t="s">
        <v>144</v>
      </c>
      <c r="C9" s="190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</row>
    <row r="10" spans="2:22" ht="16" thickBot="1">
      <c r="B10" s="23"/>
      <c r="C10" s="23"/>
    </row>
    <row r="11" spans="2:22" ht="34.5" customHeight="1" thickTop="1">
      <c r="B11" s="96"/>
      <c r="C11" s="97"/>
      <c r="D11" s="214" t="s">
        <v>117</v>
      </c>
      <c r="E11" s="215"/>
      <c r="F11" s="215"/>
      <c r="G11" s="215"/>
      <c r="H11" s="215"/>
      <c r="I11" s="215"/>
      <c r="J11" s="215"/>
      <c r="K11" s="215"/>
      <c r="L11" s="216"/>
      <c r="M11" s="217" t="s">
        <v>118</v>
      </c>
      <c r="N11" s="218"/>
      <c r="O11" s="214" t="s">
        <v>119</v>
      </c>
      <c r="P11" s="215"/>
      <c r="Q11" s="215"/>
      <c r="R11" s="216"/>
      <c r="S11" s="98"/>
    </row>
    <row r="12" spans="2:22" s="2" customFormat="1" ht="30">
      <c r="B12" s="99" t="s">
        <v>7</v>
      </c>
      <c r="C12" s="100" t="s">
        <v>133</v>
      </c>
      <c r="D12" s="135" t="s">
        <v>20</v>
      </c>
      <c r="E12" s="100" t="s">
        <v>1</v>
      </c>
      <c r="F12" s="100" t="s">
        <v>16</v>
      </c>
      <c r="G12" s="100" t="s">
        <v>17</v>
      </c>
      <c r="H12" s="100" t="s">
        <v>135</v>
      </c>
      <c r="I12" s="100" t="s">
        <v>136</v>
      </c>
      <c r="J12" s="100" t="s">
        <v>122</v>
      </c>
      <c r="K12" s="100" t="s">
        <v>137</v>
      </c>
      <c r="L12" s="136" t="s">
        <v>138</v>
      </c>
      <c r="M12" s="172" t="s">
        <v>120</v>
      </c>
      <c r="N12" s="173" t="s">
        <v>121</v>
      </c>
      <c r="O12" s="149" t="s">
        <v>39</v>
      </c>
      <c r="P12" s="101" t="s">
        <v>5</v>
      </c>
      <c r="Q12" s="101" t="s">
        <v>15</v>
      </c>
      <c r="R12" s="150" t="s">
        <v>12</v>
      </c>
      <c r="S12" s="102" t="s">
        <v>37</v>
      </c>
    </row>
    <row r="13" spans="2:22">
      <c r="B13" s="103" t="s">
        <v>83</v>
      </c>
      <c r="C13" s="104">
        <f>VLOOKUP($B13,'County Data'!$B$10:$C$46,2,FALSE)</f>
        <v>1450</v>
      </c>
      <c r="D13" s="137">
        <f>VLOOKUP($B13,Floor!$B$6:$M$45,4,FALSE)</f>
        <v>6000</v>
      </c>
      <c r="E13" s="105">
        <f>VLOOKUP($B13,Population!$B$7:$F$40,4,FALSE)</f>
        <v>0</v>
      </c>
      <c r="F13" s="105">
        <f>VLOOKUP($B13,Burden!$B$6:$H$40,6,FALSE)</f>
        <v>24.338863236558513</v>
      </c>
      <c r="G13" s="105">
        <f>VLOOKUP($B13,'Health Status'!$B$6:$H$40,6,FALSE)</f>
        <v>45.207875332507349</v>
      </c>
      <c r="H13" s="105">
        <f>VLOOKUP($B13,Ethnicity!$B$6:$H$40,6,FALSE)</f>
        <v>11.530114986962534</v>
      </c>
      <c r="I13" s="105">
        <f>VLOOKUP($B13,Poverty!$B$6:$H$40,6,FALSE)</f>
        <v>16.85831166089342</v>
      </c>
      <c r="J13" s="105">
        <f>VLOOKUP($B13,Rurality!$B$6:$H$40,6,FALSE)</f>
        <v>132.23843066351375</v>
      </c>
      <c r="K13" s="105">
        <f>VLOOKUP($B13,Education!$B$6:$H$40,6,FALSE)</f>
        <v>8.9224353862345378</v>
      </c>
      <c r="L13" s="138">
        <f>VLOOKUP($B13,Language!$B$6:$H$40,6,FALSE)</f>
        <v>0.41767176773663095</v>
      </c>
      <c r="M13" s="174">
        <f>VLOOKUP($B13,Matching!$B$7:$L$40,10,FALSE)</f>
        <v>0</v>
      </c>
      <c r="N13" s="175">
        <f>VLOOKUP($B13,Incentives!$B$7:$Y$40,23,FALSE)</f>
        <v>0</v>
      </c>
      <c r="O13" s="151">
        <f>SUM(D13:N13)</f>
        <v>6239.5137030344076</v>
      </c>
      <c r="P13" s="106">
        <f t="shared" ref="P13:P46" si="0">O13/$O$47</f>
        <v>7.7993921287930115E-3</v>
      </c>
      <c r="Q13" s="106">
        <f>C13/$C$47</f>
        <v>3.4562486592138825E-4</v>
      </c>
      <c r="R13" s="152">
        <f>O13/C13</f>
        <v>4.3031128986444189</v>
      </c>
      <c r="S13" s="107"/>
      <c r="U13" s="38"/>
      <c r="V13" s="22"/>
    </row>
    <row r="14" spans="2:22">
      <c r="B14" s="103" t="s">
        <v>81</v>
      </c>
      <c r="C14" s="104">
        <f>VLOOKUP($B14,'County Data'!$B$10:$C$46,2,FALSE)</f>
        <v>7175</v>
      </c>
      <c r="D14" s="137">
        <f>VLOOKUP($B14,Floor!$B$6:$M$45,4,FALSE)</f>
        <v>6000</v>
      </c>
      <c r="E14" s="105">
        <f>VLOOKUP($B14,Population!$B$7:$F$40,4,FALSE)</f>
        <v>0</v>
      </c>
      <c r="F14" s="105">
        <f>VLOOKUP($B14,Burden!$B$6:$H$40,6,FALSE)</f>
        <v>145.83419904860719</v>
      </c>
      <c r="G14" s="105">
        <f>VLOOKUP($B14,'Health Status'!$B$6:$H$40,6,FALSE)</f>
        <v>89.626148888736481</v>
      </c>
      <c r="H14" s="105">
        <f>VLOOKUP($B14,Ethnicity!$B$6:$H$40,6,FALSE)</f>
        <v>34.232513806119776</v>
      </c>
      <c r="I14" s="105">
        <f>VLOOKUP($B14,Poverty!$B$6:$H$40,6,FALSE)</f>
        <v>60.372726656778248</v>
      </c>
      <c r="J14" s="105">
        <f>VLOOKUP($B14,Rurality!$B$6:$H$40,6,FALSE)</f>
        <v>654.35223449014563</v>
      </c>
      <c r="K14" s="105">
        <f>VLOOKUP($B14,Education!$B$6:$H$40,6,FALSE)</f>
        <v>44.150671652574353</v>
      </c>
      <c r="L14" s="138">
        <f>VLOOKUP($B14,Language!$B$6:$H$40,6,FALSE)</f>
        <v>18.600796139029612</v>
      </c>
      <c r="M14" s="174">
        <f>VLOOKUP($B14,Matching!$B$7:$L$40,10,FALSE)</f>
        <v>0</v>
      </c>
      <c r="N14" s="175">
        <f>VLOOKUP($B14,Incentives!$B$7:$Y$40,23,FALSE)</f>
        <v>0</v>
      </c>
      <c r="O14" s="151">
        <f t="shared" ref="O14:O46" si="1">SUM(D14:N14)</f>
        <v>7047.1692906819917</v>
      </c>
      <c r="P14" s="106">
        <f t="shared" si="0"/>
        <v>8.8089616133524926E-3</v>
      </c>
      <c r="Q14" s="106">
        <f t="shared" ref="Q14:Q46" si="2">C14/$C$47</f>
        <v>1.7102471813696279E-3</v>
      </c>
      <c r="R14" s="152">
        <f t="shared" ref="R14:R46" si="3">O14/C14</f>
        <v>0.98218387326578283</v>
      </c>
      <c r="S14" s="107"/>
      <c r="U14" s="38"/>
      <c r="V14" s="22"/>
    </row>
    <row r="15" spans="2:22">
      <c r="B15" s="103" t="s">
        <v>63</v>
      </c>
      <c r="C15" s="104">
        <f>VLOOKUP($B15,'County Data'!$B$10:$C$46,2,FALSE)</f>
        <v>7380</v>
      </c>
      <c r="D15" s="137">
        <f>VLOOKUP($B15,Floor!$B$6:$M$45,4,FALSE)</f>
        <v>6000</v>
      </c>
      <c r="E15" s="105">
        <f>VLOOKUP($B15,Population!$B$7:$F$40,4,FALSE)</f>
        <v>0</v>
      </c>
      <c r="F15" s="105">
        <f>VLOOKUP($B15,Burden!$B$6:$H$40,6,FALSE)</f>
        <v>207.50354595563275</v>
      </c>
      <c r="G15" s="105">
        <f>VLOOKUP($B15,'Health Status'!$B$6:$H$40,6,FALSE)</f>
        <v>199.36353118665289</v>
      </c>
      <c r="H15" s="105">
        <f>VLOOKUP($B15,Ethnicity!$B$6:$H$40,6,FALSE)</f>
        <v>70.421171258303602</v>
      </c>
      <c r="I15" s="105">
        <f>VLOOKUP($B15,Poverty!$B$6:$H$40,6,FALSE)</f>
        <v>78.845993699000488</v>
      </c>
      <c r="J15" s="105">
        <f>VLOOKUP($B15,Rurality!$B$6:$H$40,6,FALSE)</f>
        <v>298.1602695899669</v>
      </c>
      <c r="K15" s="105">
        <f>VLOOKUP($B15,Education!$B$6:$H$40,6,FALSE)</f>
        <v>65.879553516195458</v>
      </c>
      <c r="L15" s="138">
        <f>VLOOKUP($B15,Language!$B$6:$H$40,6,FALSE)</f>
        <v>42.516105460639125</v>
      </c>
      <c r="M15" s="174">
        <f>VLOOKUP($B15,Matching!$B$7:$L$40,10,FALSE)</f>
        <v>0</v>
      </c>
      <c r="N15" s="175">
        <f>VLOOKUP($B15,Incentives!$B$7:$Y$40,23,FALSE)</f>
        <v>0</v>
      </c>
      <c r="O15" s="151">
        <f t="shared" si="1"/>
        <v>6962.6901706663912</v>
      </c>
      <c r="P15" s="106">
        <f t="shared" si="0"/>
        <v>8.7033627133329908E-3</v>
      </c>
      <c r="Q15" s="106">
        <f t="shared" si="2"/>
        <v>1.7591113865516174E-3</v>
      </c>
      <c r="R15" s="152">
        <f t="shared" si="3"/>
        <v>0.94345395266482268</v>
      </c>
      <c r="S15" s="107"/>
      <c r="U15" s="38"/>
      <c r="V15" s="22"/>
    </row>
    <row r="16" spans="2:22">
      <c r="B16" s="103" t="s">
        <v>62</v>
      </c>
      <c r="C16" s="104">
        <f>VLOOKUP($B16,'County Data'!$B$10:$C$46,2,FALSE)</f>
        <v>7400</v>
      </c>
      <c r="D16" s="137">
        <f>VLOOKUP($B16,Floor!$B$6:$M$45,4,FALSE)</f>
        <v>6000</v>
      </c>
      <c r="E16" s="105">
        <f>VLOOKUP($B16,Population!$B$7:$F$40,4,FALSE)</f>
        <v>0</v>
      </c>
      <c r="F16" s="105">
        <f>VLOOKUP($B16,Burden!$B$6:$H$40,6,FALSE)</f>
        <v>127.15365622243912</v>
      </c>
      <c r="G16" s="105">
        <f>VLOOKUP($B16,'Health Status'!$B$6:$H$40,6,FALSE)</f>
        <v>138.27932843477927</v>
      </c>
      <c r="H16" s="105">
        <f>VLOOKUP($B16,Ethnicity!$B$6:$H$40,6,FALSE)</f>
        <v>43.865039335980342</v>
      </c>
      <c r="I16" s="105">
        <f>VLOOKUP($B16,Poverty!$B$6:$H$40,6,FALSE)</f>
        <v>66.399786924898223</v>
      </c>
      <c r="J16" s="105">
        <f>VLOOKUP($B16,Rurality!$B$6:$H$40,6,FALSE)</f>
        <v>674.87199097241489</v>
      </c>
      <c r="K16" s="105">
        <f>VLOOKUP($B16,Education!$B$6:$H$40,6,FALSE)</f>
        <v>65.416748222727833</v>
      </c>
      <c r="L16" s="138">
        <f>VLOOKUP($B16,Language!$B$6:$H$40,6,FALSE)</f>
        <v>23.447228892249491</v>
      </c>
      <c r="M16" s="174">
        <f>VLOOKUP($B16,Matching!$B$7:$L$40,10,FALSE)</f>
        <v>0</v>
      </c>
      <c r="N16" s="175">
        <f>VLOOKUP($B16,Incentives!$B$7:$Y$40,23,FALSE)</f>
        <v>0</v>
      </c>
      <c r="O16" s="151">
        <f t="shared" si="1"/>
        <v>7139.4337790054888</v>
      </c>
      <c r="P16" s="106">
        <f t="shared" si="0"/>
        <v>8.9242922237568641E-3</v>
      </c>
      <c r="Q16" s="106">
        <f t="shared" si="2"/>
        <v>1.7638786260815674E-3</v>
      </c>
      <c r="R16" s="152">
        <f t="shared" si="3"/>
        <v>0.96478834851425521</v>
      </c>
      <c r="S16" s="107"/>
      <c r="U16" s="38"/>
      <c r="V16" s="22"/>
    </row>
    <row r="17" spans="1:22">
      <c r="B17" s="103" t="s">
        <v>69</v>
      </c>
      <c r="C17" s="104">
        <f>VLOOKUP($B17,'County Data'!$B$10:$C$46,2,FALSE)</f>
        <v>8115</v>
      </c>
      <c r="D17" s="137">
        <f>VLOOKUP($B17,Floor!$B$6:$M$45,4,FALSE)</f>
        <v>6000</v>
      </c>
      <c r="E17" s="105">
        <f>VLOOKUP($B17,Population!$B$7:$F$40,4,FALSE)</f>
        <v>0</v>
      </c>
      <c r="F17" s="105">
        <f>VLOOKUP($B17,Burden!$B$6:$H$40,6,FALSE)</f>
        <v>180.87535479842316</v>
      </c>
      <c r="G17" s="105">
        <f>VLOOKUP($B17,'Health Status'!$B$6:$H$40,6,FALSE)</f>
        <v>109.60942110973497</v>
      </c>
      <c r="H17" s="105">
        <f>VLOOKUP($B17,Ethnicity!$B$6:$H$40,6,FALSE)</f>
        <v>86.820681514995272</v>
      </c>
      <c r="I17" s="105">
        <f>VLOOKUP($B17,Poverty!$B$6:$H$40,6,FALSE)</f>
        <v>102.2816130998492</v>
      </c>
      <c r="J17" s="105">
        <f>VLOOKUP($B17,Rurality!$B$6:$H$40,6,FALSE)</f>
        <v>468.47014444150625</v>
      </c>
      <c r="K17" s="105">
        <f>VLOOKUP($B17,Education!$B$6:$H$40,6,FALSE)</f>
        <v>107.6061307758317</v>
      </c>
      <c r="L17" s="138">
        <f>VLOOKUP($B17,Language!$B$6:$H$40,6,FALSE)</f>
        <v>42.075389733303226</v>
      </c>
      <c r="M17" s="174">
        <f>VLOOKUP($B17,Matching!$B$7:$L$40,10,FALSE)</f>
        <v>0</v>
      </c>
      <c r="N17" s="175">
        <f>VLOOKUP($B17,Incentives!$B$7:$Y$40,23,FALSE)</f>
        <v>0</v>
      </c>
      <c r="O17" s="151">
        <f t="shared" si="1"/>
        <v>7097.7387354736438</v>
      </c>
      <c r="P17" s="106">
        <f t="shared" si="0"/>
        <v>8.8721734193420582E-3</v>
      </c>
      <c r="Q17" s="106">
        <f t="shared" si="2"/>
        <v>1.9343074392772865E-3</v>
      </c>
      <c r="R17" s="152">
        <f t="shared" si="3"/>
        <v>0.87464432969484207</v>
      </c>
      <c r="S17" s="107"/>
      <c r="U17" s="38"/>
      <c r="V17" s="22"/>
    </row>
    <row r="18" spans="1:22">
      <c r="B18" s="103" t="s">
        <v>75</v>
      </c>
      <c r="C18" s="104">
        <f>VLOOKUP($B18,'County Data'!$B$10:$C$46,2,FALSE)</f>
        <v>11885</v>
      </c>
      <c r="D18" s="137">
        <f>VLOOKUP($B18,Floor!$B$6:$M$45,4,FALSE)</f>
        <v>6000</v>
      </c>
      <c r="E18" s="105">
        <f>VLOOKUP($B18,Population!$B$7:$F$40,4,FALSE)</f>
        <v>0</v>
      </c>
      <c r="F18" s="105">
        <f>VLOOKUP($B18,Burden!$B$6:$H$40,6,FALSE)</f>
        <v>203.91237344150534</v>
      </c>
      <c r="G18" s="105">
        <f>VLOOKUP($B18,'Health Status'!$B$6:$H$40,6,FALSE)</f>
        <v>300.54274735119753</v>
      </c>
      <c r="H18" s="105">
        <f>VLOOKUP($B18,Ethnicity!$B$6:$H$40,6,FALSE)</f>
        <v>337.64839330206615</v>
      </c>
      <c r="I18" s="105">
        <f>VLOOKUP($B18,Poverty!$B$6:$H$40,6,FALSE)</f>
        <v>114.11263202790212</v>
      </c>
      <c r="J18" s="105">
        <f>VLOOKUP($B18,Rurality!$B$6:$H$40,6,FALSE)</f>
        <v>497.50970381521387</v>
      </c>
      <c r="K18" s="105">
        <f>VLOOKUP($B18,Education!$B$6:$H$40,6,FALSE)</f>
        <v>254.42114334777253</v>
      </c>
      <c r="L18" s="138">
        <f>VLOOKUP($B18,Language!$B$6:$H$40,6,FALSE)</f>
        <v>540.90798317853637</v>
      </c>
      <c r="M18" s="174">
        <f>VLOOKUP($B18,Matching!$B$7:$L$40,10,FALSE)</f>
        <v>0</v>
      </c>
      <c r="N18" s="175">
        <f>VLOOKUP($B18,Incentives!$B$7:$Y$40,23,FALSE)</f>
        <v>0</v>
      </c>
      <c r="O18" s="151">
        <f t="shared" si="1"/>
        <v>8249.0549764641928</v>
      </c>
      <c r="P18" s="106">
        <f t="shared" si="0"/>
        <v>1.0311318720580245E-2</v>
      </c>
      <c r="Q18" s="106">
        <f t="shared" si="2"/>
        <v>2.8329320906728957E-3</v>
      </c>
      <c r="R18" s="152">
        <f t="shared" si="3"/>
        <v>0.69407277883585972</v>
      </c>
      <c r="S18" s="107"/>
      <c r="U18" s="38"/>
      <c r="V18" s="22"/>
    </row>
    <row r="19" spans="1:22">
      <c r="B19" s="103" t="s">
        <v>52</v>
      </c>
      <c r="C19" s="104">
        <f>VLOOKUP($B19,'County Data'!$B$10:$C$46,2,FALSE)</f>
        <v>16765</v>
      </c>
      <c r="D19" s="137">
        <f>VLOOKUP($B19,Floor!$B$6:$M$45,4,FALSE)</f>
        <v>6000</v>
      </c>
      <c r="E19" s="105">
        <f>VLOOKUP($B19,Population!$B$7:$F$40,4,FALSE)</f>
        <v>0</v>
      </c>
      <c r="F19" s="105">
        <f>VLOOKUP($B19,Burden!$B$6:$H$40,6,FALSE)</f>
        <v>358.70914219934559</v>
      </c>
      <c r="G19" s="105">
        <f>VLOOKUP($B19,'Health Status'!$B$6:$H$40,6,FALSE)</f>
        <v>226.44509487427069</v>
      </c>
      <c r="H19" s="105">
        <f>VLOOKUP($B19,Ethnicity!$B$6:$H$40,6,FALSE)</f>
        <v>107.86151486095289</v>
      </c>
      <c r="I19" s="105">
        <f>VLOOKUP($B19,Poverty!$B$6:$H$40,6,FALSE)</f>
        <v>158.6261162754727</v>
      </c>
      <c r="J19" s="105">
        <f>VLOOKUP($B19,Rurality!$B$6:$H$40,6,FALSE)</f>
        <v>626.86944064155955</v>
      </c>
      <c r="K19" s="105">
        <f>VLOOKUP($B19,Education!$B$6:$H$40,6,FALSE)</f>
        <v>143.84534527219023</v>
      </c>
      <c r="L19" s="138">
        <f>VLOOKUP($B19,Language!$B$6:$H$40,6,FALSE)</f>
        <v>62.778947185765546</v>
      </c>
      <c r="M19" s="174">
        <f>VLOOKUP($B19,Matching!$B$7:$L$40,10,FALSE)</f>
        <v>0</v>
      </c>
      <c r="N19" s="175">
        <f>VLOOKUP($B19,Incentives!$B$7:$Y$40,23,FALSE)</f>
        <v>0</v>
      </c>
      <c r="O19" s="151">
        <f t="shared" si="1"/>
        <v>7685.1356013095583</v>
      </c>
      <c r="P19" s="106">
        <f t="shared" si="0"/>
        <v>9.6064195016369505E-3</v>
      </c>
      <c r="Q19" s="106">
        <f t="shared" si="2"/>
        <v>3.9961385359807405E-3</v>
      </c>
      <c r="R19" s="152">
        <f t="shared" si="3"/>
        <v>0.45840355510346309</v>
      </c>
      <c r="S19" s="108">
        <f>SUM(O13:O19)/SUM(C13:C19)</f>
        <v>0.83797135211294127</v>
      </c>
      <c r="U19" s="38"/>
      <c r="V19" s="22"/>
    </row>
    <row r="20" spans="1:22">
      <c r="B20" s="109" t="s">
        <v>58</v>
      </c>
      <c r="C20" s="110">
        <f>VLOOKUP($B20,'County Data'!$B$10:$C$46,2,FALSE)</f>
        <v>22710</v>
      </c>
      <c r="D20" s="139">
        <f>VLOOKUP($B20,Floor!$B$6:$M$45,4,FALSE)</f>
        <v>9000</v>
      </c>
      <c r="E20" s="111">
        <f>VLOOKUP($B20,Population!$B$7:$F$40,4,FALSE)</f>
        <v>0</v>
      </c>
      <c r="F20" s="111">
        <f>VLOOKUP($B20,Burden!$B$6:$H$40,6,FALSE)</f>
        <v>475.57497331914448</v>
      </c>
      <c r="G20" s="111">
        <f>VLOOKUP($B20,'Health Status'!$B$6:$H$40,6,FALSE)</f>
        <v>548.91084356889939</v>
      </c>
      <c r="H20" s="111">
        <f>VLOOKUP($B20,Ethnicity!$B$6:$H$40,6,FALSE)</f>
        <v>190.43557189375937</v>
      </c>
      <c r="I20" s="111">
        <f>VLOOKUP($B20,Poverty!$B$6:$H$40,6,FALSE)</f>
        <v>237.87030619378041</v>
      </c>
      <c r="J20" s="111">
        <f>VLOOKUP($B20,Rurality!$B$6:$H$40,6,FALSE)</f>
        <v>994.14116205298649</v>
      </c>
      <c r="K20" s="111">
        <f>VLOOKUP($B20,Education!$B$6:$H$40,6,FALSE)</f>
        <v>238.1549239649126</v>
      </c>
      <c r="L20" s="140">
        <f>VLOOKUP($B20,Language!$B$6:$H$40,6,FALSE)</f>
        <v>78.499248374887358</v>
      </c>
      <c r="M20" s="176">
        <f>VLOOKUP($B20,Matching!$B$7:$L$40,10,FALSE)</f>
        <v>0</v>
      </c>
      <c r="N20" s="177">
        <f>VLOOKUP($B20,Incentives!$B$7:$Y$40,23,FALSE)</f>
        <v>0</v>
      </c>
      <c r="O20" s="153">
        <f t="shared" si="1"/>
        <v>11763.587029368369</v>
      </c>
      <c r="P20" s="112">
        <f t="shared" si="0"/>
        <v>1.4704483786710467E-2</v>
      </c>
      <c r="Q20" s="112">
        <f t="shared" si="2"/>
        <v>5.4132004862584319E-3</v>
      </c>
      <c r="R20" s="154">
        <f t="shared" si="3"/>
        <v>0.51799150283436235</v>
      </c>
      <c r="S20" s="107"/>
      <c r="U20" s="38"/>
      <c r="V20" s="22"/>
    </row>
    <row r="21" spans="1:22">
      <c r="A21" s="41"/>
      <c r="B21" s="109" t="s">
        <v>59</v>
      </c>
      <c r="C21" s="110">
        <f>VLOOKUP($B21,'County Data'!$B$10:$C$46,2,FALSE)</f>
        <v>22915</v>
      </c>
      <c r="D21" s="139">
        <f>VLOOKUP($B21,Floor!$B$6:$M$45,4,FALSE)</f>
        <v>9000</v>
      </c>
      <c r="E21" s="111">
        <f>VLOOKUP($B21,Population!$B$7:$F$40,4,FALSE)</f>
        <v>0</v>
      </c>
      <c r="F21" s="111">
        <f>VLOOKUP($B21,Burden!$B$6:$H$40,6,FALSE)</f>
        <v>659.89361392320882</v>
      </c>
      <c r="G21" s="111">
        <f>VLOOKUP($B21,'Health Status'!$B$6:$H$40,6,FALSE)</f>
        <v>551.53861796905346</v>
      </c>
      <c r="H21" s="111">
        <f>VLOOKUP($B21,Ethnicity!$B$6:$H$40,6,FALSE)</f>
        <v>218.65869097344537</v>
      </c>
      <c r="I21" s="111">
        <f>VLOOKUP($B21,Poverty!$B$6:$H$40,6,FALSE)</f>
        <v>220.01606755737293</v>
      </c>
      <c r="J21" s="111">
        <f>VLOOKUP($B21,Rurality!$B$6:$H$40,6,FALSE)</f>
        <v>808.76157804086859</v>
      </c>
      <c r="K21" s="111">
        <f>VLOOKUP($B21,Education!$B$6:$H$40,6,FALSE)</f>
        <v>200.58492758068977</v>
      </c>
      <c r="L21" s="140">
        <f>VLOOKUP($B21,Language!$B$6:$H$40,6,FALSE)</f>
        <v>92.40915848799213</v>
      </c>
      <c r="M21" s="176">
        <f>VLOOKUP($B21,Matching!$B$7:$L$40,10,FALSE)</f>
        <v>0</v>
      </c>
      <c r="N21" s="177">
        <f>VLOOKUP($B21,Incentives!$B$7:$Y$40,23,FALSE)</f>
        <v>0</v>
      </c>
      <c r="O21" s="153">
        <f>SUM(D21:N21)</f>
        <v>11751.862654532631</v>
      </c>
      <c r="P21" s="112">
        <f t="shared" si="0"/>
        <v>1.4689828318165794E-2</v>
      </c>
      <c r="Q21" s="112">
        <f t="shared" si="2"/>
        <v>5.4620646914404214E-3</v>
      </c>
      <c r="R21" s="154">
        <f>O21/C21</f>
        <v>0.51284585007779326</v>
      </c>
      <c r="S21" s="107"/>
      <c r="U21" s="38"/>
      <c r="V21" s="22"/>
    </row>
    <row r="22" spans="1:22">
      <c r="A22" s="41"/>
      <c r="B22" s="109" t="s">
        <v>66</v>
      </c>
      <c r="C22" s="110">
        <f>VLOOKUP($B22,'County Data'!$B$10:$C$46,2,FALSE)</f>
        <v>23560</v>
      </c>
      <c r="D22" s="139">
        <f>VLOOKUP($B22,Floor!$B$6:$M$45,4,FALSE)</f>
        <v>9000</v>
      </c>
      <c r="E22" s="111">
        <f>VLOOKUP($B22,Population!$B$7:$F$40,4,FALSE)</f>
        <v>0</v>
      </c>
      <c r="F22" s="111">
        <f>VLOOKUP($B22,Burden!$B$6:$H$40,6,FALSE)</f>
        <v>569.13993410101966</v>
      </c>
      <c r="G22" s="111">
        <f>VLOOKUP($B22,'Health Status'!$B$6:$H$40,6,FALSE)</f>
        <v>452.21483903313941</v>
      </c>
      <c r="H22" s="111">
        <f>VLOOKUP($B22,Ethnicity!$B$6:$H$40,6,FALSE)</f>
        <v>677.84642394325567</v>
      </c>
      <c r="I22" s="111">
        <f>VLOOKUP($B22,Poverty!$B$6:$H$40,6,FALSE)</f>
        <v>266.51529577452681</v>
      </c>
      <c r="J22" s="111">
        <f>VLOOKUP($B22,Rurality!$B$6:$H$40,6,FALSE)</f>
        <v>1355.7959421233338</v>
      </c>
      <c r="K22" s="111">
        <f>VLOOKUP($B22,Education!$B$6:$H$40,6,FALSE)</f>
        <v>291.99027305541586</v>
      </c>
      <c r="L22" s="140">
        <f>VLOOKUP($B22,Language!$B$6:$H$40,6,FALSE)</f>
        <v>346.10875120112161</v>
      </c>
      <c r="M22" s="176">
        <f>VLOOKUP($B22,Matching!$B$7:$L$40,10,FALSE)</f>
        <v>0</v>
      </c>
      <c r="N22" s="177">
        <f>VLOOKUP($B22,Incentives!$B$7:$Y$40,23,FALSE)</f>
        <v>0</v>
      </c>
      <c r="O22" s="153">
        <f t="shared" si="1"/>
        <v>12959.611459231812</v>
      </c>
      <c r="P22" s="112">
        <f t="shared" si="0"/>
        <v>1.6199514324039769E-2</v>
      </c>
      <c r="Q22" s="112">
        <f t="shared" si="2"/>
        <v>5.615808166281315E-3</v>
      </c>
      <c r="R22" s="154">
        <f t="shared" si="3"/>
        <v>0.55006839809982222</v>
      </c>
      <c r="S22" s="107"/>
      <c r="U22" s="38"/>
      <c r="V22" s="22"/>
    </row>
    <row r="23" spans="1:22">
      <c r="B23" s="109" t="s">
        <v>64</v>
      </c>
      <c r="C23" s="110">
        <f>VLOOKUP($B23,'County Data'!$B$10:$C$46,2,FALSE)</f>
        <v>25310</v>
      </c>
      <c r="D23" s="139">
        <f>VLOOKUP($B23,Floor!$B$6:$M$45,4,FALSE)</f>
        <v>9000</v>
      </c>
      <c r="E23" s="111">
        <f>VLOOKUP($B23,Population!$B$7:$F$40,4,FALSE)</f>
        <v>0</v>
      </c>
      <c r="F23" s="111">
        <f>VLOOKUP($B23,Burden!$B$6:$H$40,6,FALSE)</f>
        <v>340.77252934983676</v>
      </c>
      <c r="G23" s="111">
        <f>VLOOKUP($B23,'Health Status'!$B$6:$H$40,6,FALSE)</f>
        <v>508.93820573698906</v>
      </c>
      <c r="H23" s="111">
        <f>VLOOKUP($B23,Ethnicity!$B$6:$H$40,6,FALSE)</f>
        <v>655.01029024807394</v>
      </c>
      <c r="I23" s="111">
        <f>VLOOKUP($B23,Poverty!$B$6:$H$40,6,FALSE)</f>
        <v>212.08269307845291</v>
      </c>
      <c r="J23" s="111">
        <f>VLOOKUP($B23,Rurality!$B$6:$H$40,6,FALSE)</f>
        <v>1204.9036848336718</v>
      </c>
      <c r="K23" s="111">
        <f>VLOOKUP($B23,Education!$B$6:$H$40,6,FALSE)</f>
        <v>447.48591824790304</v>
      </c>
      <c r="L23" s="140">
        <f>VLOOKUP($B23,Language!$B$6:$H$40,6,FALSE)</f>
        <v>1151.9041694782295</v>
      </c>
      <c r="M23" s="176">
        <f>VLOOKUP($B23,Matching!$B$7:$L$40,10,FALSE)</f>
        <v>0</v>
      </c>
      <c r="N23" s="177">
        <f>VLOOKUP($B23,Incentives!$B$7:$Y$40,23,FALSE)</f>
        <v>0</v>
      </c>
      <c r="O23" s="153">
        <f t="shared" si="1"/>
        <v>13521.097490973159</v>
      </c>
      <c r="P23" s="112">
        <f t="shared" si="0"/>
        <v>1.6901371863716454E-2</v>
      </c>
      <c r="Q23" s="112">
        <f t="shared" si="2"/>
        <v>6.0329416251519554E-3</v>
      </c>
      <c r="R23" s="154">
        <f t="shared" si="3"/>
        <v>0.53421957688554567</v>
      </c>
      <c r="S23" s="107"/>
      <c r="U23" s="38"/>
      <c r="V23" s="22"/>
    </row>
    <row r="24" spans="1:22">
      <c r="B24" s="109" t="s">
        <v>78</v>
      </c>
      <c r="C24" s="110">
        <f>VLOOKUP($B24,'County Data'!$B$10:$C$46,2,FALSE)</f>
        <v>26395</v>
      </c>
      <c r="D24" s="139">
        <f>VLOOKUP($B24,Floor!$B$6:$M$45,4,FALSE)</f>
        <v>9000</v>
      </c>
      <c r="E24" s="111">
        <f>VLOOKUP($B24,Population!$B$7:$F$40,4,FALSE)</f>
        <v>0</v>
      </c>
      <c r="F24" s="111">
        <f>VLOOKUP($B24,Burden!$B$6:$H$40,6,FALSE)</f>
        <v>563.10049264832526</v>
      </c>
      <c r="G24" s="111">
        <f>VLOOKUP($B24,'Health Status'!$B$6:$H$40,6,FALSE)</f>
        <v>520.03325320430667</v>
      </c>
      <c r="H24" s="111">
        <f>VLOOKUP($B24,Ethnicity!$B$6:$H$40,6,FALSE)</f>
        <v>291.93492111206302</v>
      </c>
      <c r="I24" s="111">
        <f>VLOOKUP($B24,Poverty!$B$6:$H$40,6,FALSE)</f>
        <v>237.76242137855382</v>
      </c>
      <c r="J24" s="111">
        <f>VLOOKUP($B24,Rurality!$B$6:$H$40,6,FALSE)</f>
        <v>1675.4080211344537</v>
      </c>
      <c r="K24" s="111">
        <f>VLOOKUP($B24,Education!$B$6:$H$40,6,FALSE)</f>
        <v>231.04687599791865</v>
      </c>
      <c r="L24" s="140">
        <f>VLOOKUP($B24,Language!$B$6:$H$40,6,FALSE)</f>
        <v>220.48892618816751</v>
      </c>
      <c r="M24" s="176">
        <f>VLOOKUP($B24,Matching!$B$7:$L$40,10,FALSE)</f>
        <v>0</v>
      </c>
      <c r="N24" s="177">
        <f>VLOOKUP($B24,Incentives!$B$7:$Y$40,23,FALSE)</f>
        <v>0</v>
      </c>
      <c r="O24" s="153">
        <f t="shared" si="1"/>
        <v>12739.774911663788</v>
      </c>
      <c r="P24" s="112">
        <f t="shared" si="0"/>
        <v>1.5924718639579741E-2</v>
      </c>
      <c r="Q24" s="112">
        <f t="shared" si="2"/>
        <v>6.2915643696517531E-3</v>
      </c>
      <c r="R24" s="154">
        <f t="shared" si="3"/>
        <v>0.48265864412440945</v>
      </c>
      <c r="S24" s="107"/>
      <c r="U24" s="38"/>
      <c r="V24" s="22"/>
    </row>
    <row r="25" spans="1:22">
      <c r="B25" s="109" t="s">
        <v>80</v>
      </c>
      <c r="C25" s="110">
        <f>VLOOKUP($B25,'County Data'!$B$10:$C$46,2,FALSE)</f>
        <v>26885</v>
      </c>
      <c r="D25" s="139">
        <f>VLOOKUP($B25,Floor!$B$6:$M$45,4,FALSE)</f>
        <v>9000</v>
      </c>
      <c r="E25" s="111">
        <f>VLOOKUP($B25,Population!$B$7:$F$40,4,FALSE)</f>
        <v>0</v>
      </c>
      <c r="F25" s="111">
        <f>VLOOKUP($B25,Burden!$B$6:$H$40,6,FALSE)</f>
        <v>517.48037244599209</v>
      </c>
      <c r="G25" s="111">
        <f>VLOOKUP($B25,'Health Status'!$B$6:$H$40,6,FALSE)</f>
        <v>393.16989077228396</v>
      </c>
      <c r="H25" s="111">
        <f>VLOOKUP($B25,Ethnicity!$B$6:$H$40,6,FALSE)</f>
        <v>207.95375631611401</v>
      </c>
      <c r="I25" s="111">
        <f>VLOOKUP($B25,Poverty!$B$6:$H$40,6,FALSE)</f>
        <v>301.31233838666537</v>
      </c>
      <c r="J25" s="111">
        <f>VLOOKUP($B25,Rurality!$B$6:$H$40,6,FALSE)</f>
        <v>1032.242701883853</v>
      </c>
      <c r="K25" s="111">
        <f>VLOOKUP($B25,Education!$B$6:$H$40,6,FALSE)</f>
        <v>170.09437883633646</v>
      </c>
      <c r="L25" s="140">
        <f>VLOOKUP($B25,Language!$B$6:$H$40,6,FALSE)</f>
        <v>131.65158143806104</v>
      </c>
      <c r="M25" s="176">
        <f>VLOOKUP($B25,Matching!$B$7:$L$40,10,FALSE)</f>
        <v>0</v>
      </c>
      <c r="N25" s="177">
        <f>VLOOKUP($B25,Incentives!$B$7:$Y$40,23,FALSE)</f>
        <v>0</v>
      </c>
      <c r="O25" s="153">
        <f t="shared" si="1"/>
        <v>11753.905020079308</v>
      </c>
      <c r="P25" s="112">
        <f t="shared" si="0"/>
        <v>1.4692381275099139E-2</v>
      </c>
      <c r="Q25" s="112">
        <f t="shared" si="2"/>
        <v>6.4083617381355323E-3</v>
      </c>
      <c r="R25" s="154">
        <f t="shared" si="3"/>
        <v>0.4371919293315718</v>
      </c>
      <c r="S25" s="107"/>
      <c r="U25" s="38"/>
      <c r="V25" s="22"/>
    </row>
    <row r="26" spans="1:22">
      <c r="B26" s="113" t="s">
        <v>87</v>
      </c>
      <c r="C26" s="110">
        <f>VLOOKUP($B26,'County Data'!$B$10:$C$46,2,FALSE)</f>
        <v>30970</v>
      </c>
      <c r="D26" s="139">
        <f>VLOOKUP($B26,Floor!$B$6:$M$45,4,FALSE)</f>
        <v>21000</v>
      </c>
      <c r="E26" s="111">
        <f>VLOOKUP($B26,Population!$B$7:$F$40,4,FALSE)</f>
        <v>0</v>
      </c>
      <c r="F26" s="111">
        <f>VLOOKUP($B26,Burden!$B$6:$H$40,6,FALSE)</f>
        <v>671.97636109234907</v>
      </c>
      <c r="G26" s="111">
        <f>VLOOKUP($B26,'Health Status'!$B$6:$H$40,6,FALSE)</f>
        <v>493.79714736717324</v>
      </c>
      <c r="H26" s="111">
        <f>VLOOKUP($B26,Ethnicity!$B$6:$H$40,6,FALSE)</f>
        <v>514.97166191112092</v>
      </c>
      <c r="I26" s="111">
        <f>VLOOKUP($B26,Poverty!$B$6:$H$40,6,FALSE)</f>
        <v>262.37761321892697</v>
      </c>
      <c r="J26" s="111">
        <f>VLOOKUP($B26,Rurality!$B$6:$H$40,6,FALSE)</f>
        <v>1172.138649671961</v>
      </c>
      <c r="K26" s="111">
        <f>VLOOKUP($B26,Education!$B$6:$H$40,6,FALSE)</f>
        <v>353.87223316867096</v>
      </c>
      <c r="L26" s="140">
        <f>VLOOKUP($B26,Language!$B$6:$H$40,6,FALSE)</f>
        <v>508.41770428325049</v>
      </c>
      <c r="M26" s="176">
        <f>VLOOKUP($B26,Matching!$B$7:$L$40,10,FALSE)</f>
        <v>0</v>
      </c>
      <c r="N26" s="177">
        <f>VLOOKUP($B26,Incentives!$B$7:$Y$40,23,FALSE)</f>
        <v>0</v>
      </c>
      <c r="O26" s="153">
        <f t="shared" si="1"/>
        <v>24977.551370713445</v>
      </c>
      <c r="P26" s="112">
        <f t="shared" si="0"/>
        <v>3.1221939213391815E-2</v>
      </c>
      <c r="Q26" s="112">
        <f t="shared" si="2"/>
        <v>7.3820704121278571E-3</v>
      </c>
      <c r="R26" s="154">
        <f t="shared" si="3"/>
        <v>0.80650795514089269</v>
      </c>
      <c r="S26" s="107"/>
      <c r="U26" s="38"/>
      <c r="V26" s="22"/>
    </row>
    <row r="27" spans="1:22">
      <c r="B27" s="109" t="s">
        <v>73</v>
      </c>
      <c r="C27" s="110">
        <f>VLOOKUP($B27,'County Data'!$B$10:$C$46,2,FALSE)</f>
        <v>31925</v>
      </c>
      <c r="D27" s="139">
        <f>VLOOKUP($B27,Floor!$B$6:$M$45,4,FALSE)</f>
        <v>9000</v>
      </c>
      <c r="E27" s="111">
        <f>VLOOKUP($B27,Population!$B$7:$F$40,4,FALSE)</f>
        <v>0</v>
      </c>
      <c r="F27" s="111">
        <f>VLOOKUP($B27,Burden!$B$6:$H$40,6,FALSE)</f>
        <v>612.34046997295468</v>
      </c>
      <c r="G27" s="111">
        <f>VLOOKUP($B27,'Health Status'!$B$6:$H$40,6,FALSE)</f>
        <v>930.50887911314214</v>
      </c>
      <c r="H27" s="111">
        <f>VLOOKUP($B27,Ethnicity!$B$6:$H$40,6,FALSE)</f>
        <v>883.89897634615875</v>
      </c>
      <c r="I27" s="111">
        <f>VLOOKUP($B27,Poverty!$B$6:$H$40,6,FALSE)</f>
        <v>425.79064122124174</v>
      </c>
      <c r="J27" s="111">
        <f>VLOOKUP($B27,Rurality!$B$6:$H$40,6,FALSE)</f>
        <v>1409.1783166092519</v>
      </c>
      <c r="K27" s="111">
        <f>VLOOKUP($B27,Education!$B$6:$H$40,6,FALSE)</f>
        <v>522.93748124668889</v>
      </c>
      <c r="L27" s="140">
        <f>VLOOKUP($B27,Language!$B$6:$H$40,6,FALSE)</f>
        <v>772.46233071677477</v>
      </c>
      <c r="M27" s="176">
        <f>VLOOKUP($B27,Matching!$B$7:$L$40,10,FALSE)</f>
        <v>0</v>
      </c>
      <c r="N27" s="177">
        <f>VLOOKUP($B27,Incentives!$B$7:$Y$40,23,FALSE)</f>
        <v>0</v>
      </c>
      <c r="O27" s="153">
        <f t="shared" si="1"/>
        <v>14557.117095226213</v>
      </c>
      <c r="P27" s="112">
        <f t="shared" si="0"/>
        <v>1.819639636903277E-2</v>
      </c>
      <c r="Q27" s="112">
        <f t="shared" si="2"/>
        <v>7.6097060996829788E-3</v>
      </c>
      <c r="R27" s="154">
        <f t="shared" si="3"/>
        <v>0.4559786090908759</v>
      </c>
      <c r="S27" s="107"/>
      <c r="U27" s="38"/>
      <c r="V27" s="22"/>
    </row>
    <row r="28" spans="1:22">
      <c r="B28" s="109" t="s">
        <v>55</v>
      </c>
      <c r="C28" s="110">
        <f>VLOOKUP($B28,'County Data'!$B$10:$C$46,2,FALSE)</f>
        <v>39200</v>
      </c>
      <c r="D28" s="139">
        <f>VLOOKUP($B28,Floor!$B$6:$M$45,4,FALSE)</f>
        <v>9000</v>
      </c>
      <c r="E28" s="111">
        <f>VLOOKUP($B28,Population!$B$7:$F$40,4,FALSE)</f>
        <v>0</v>
      </c>
      <c r="F28" s="111">
        <f>VLOOKUP($B28,Burden!$B$6:$H$40,6,FALSE)</f>
        <v>876.35566485360107</v>
      </c>
      <c r="G28" s="111">
        <f>VLOOKUP($B28,'Health Status'!$B$6:$H$40,6,FALSE)</f>
        <v>617.05728523040466</v>
      </c>
      <c r="H28" s="111">
        <f>VLOOKUP($B28,Ethnicity!$B$6:$H$40,6,FALSE)</f>
        <v>396.72270249812169</v>
      </c>
      <c r="I28" s="111">
        <f>VLOOKUP($B28,Poverty!$B$6:$H$40,6,FALSE)</f>
        <v>335.31578169456435</v>
      </c>
      <c r="J28" s="111">
        <f>VLOOKUP($B28,Rurality!$B$6:$H$40,6,FALSE)</f>
        <v>1394.2490537819297</v>
      </c>
      <c r="K28" s="111">
        <f>VLOOKUP($B28,Education!$B$6:$H$40,6,FALSE)</f>
        <v>288.77663629852827</v>
      </c>
      <c r="L28" s="140">
        <f>VLOOKUP($B28,Language!$B$6:$H$40,6,FALSE)</f>
        <v>304.87158549824159</v>
      </c>
      <c r="M28" s="176">
        <f>VLOOKUP($B28,Matching!$B$7:$L$40,10,FALSE)</f>
        <v>0</v>
      </c>
      <c r="N28" s="177">
        <f>VLOOKUP($B28,Incentives!$B$7:$Y$40,23,FALSE)</f>
        <v>0</v>
      </c>
      <c r="O28" s="153">
        <f t="shared" si="1"/>
        <v>13213.348709855392</v>
      </c>
      <c r="P28" s="112">
        <f t="shared" si="0"/>
        <v>1.6516685887319246E-2</v>
      </c>
      <c r="Q28" s="112">
        <f t="shared" si="2"/>
        <v>9.3437894787023572E-3</v>
      </c>
      <c r="R28" s="154">
        <f t="shared" si="3"/>
        <v>0.33707522219018859</v>
      </c>
      <c r="S28" s="107"/>
      <c r="U28" s="38"/>
      <c r="V28" s="22"/>
    </row>
    <row r="29" spans="1:22">
      <c r="B29" s="109" t="s">
        <v>71</v>
      </c>
      <c r="C29" s="110">
        <f>VLOOKUP($B29,'County Data'!$B$10:$C$46,2,FALSE)</f>
        <v>48210</v>
      </c>
      <c r="D29" s="139">
        <f>VLOOKUP($B29,Floor!$B$6:$M$45,4,FALSE)</f>
        <v>9000</v>
      </c>
      <c r="E29" s="111">
        <f>VLOOKUP($B29,Population!$B$7:$F$40,4,FALSE)</f>
        <v>0</v>
      </c>
      <c r="F29" s="111">
        <f>VLOOKUP($B29,Burden!$B$6:$H$40,6,FALSE)</f>
        <v>1253.138694875016</v>
      </c>
      <c r="G29" s="111">
        <f>VLOOKUP($B29,'Health Status'!$B$6:$H$40,6,FALSE)</f>
        <v>1008.5839918560416</v>
      </c>
      <c r="H29" s="111">
        <f>VLOOKUP($B29,Ethnicity!$B$6:$H$40,6,FALSE)</f>
        <v>595.94501719229049</v>
      </c>
      <c r="I29" s="111">
        <f>VLOOKUP($B29,Poverty!$B$6:$H$40,6,FALSE)</f>
        <v>510.01341859172942</v>
      </c>
      <c r="J29" s="111">
        <f>VLOOKUP($B29,Rurality!$B$6:$H$40,6,FALSE)</f>
        <v>1653.1591331726115</v>
      </c>
      <c r="K29" s="111">
        <f>VLOOKUP($B29,Education!$B$6:$H$40,6,FALSE)</f>
        <v>442.894265729567</v>
      </c>
      <c r="L29" s="140">
        <f>VLOOKUP($B29,Language!$B$6:$H$40,6,FALSE)</f>
        <v>347.17165383763756</v>
      </c>
      <c r="M29" s="176">
        <f>VLOOKUP($B29,Matching!$B$7:$L$40,10,FALSE)</f>
        <v>0</v>
      </c>
      <c r="N29" s="177">
        <f>VLOOKUP($B29,Incentives!$B$7:$Y$40,23,FALSE)</f>
        <v>0</v>
      </c>
      <c r="O29" s="153">
        <f t="shared" si="1"/>
        <v>14810.906175254891</v>
      </c>
      <c r="P29" s="112">
        <f t="shared" si="0"/>
        <v>1.8513632719068619E-2</v>
      </c>
      <c r="Q29" s="112">
        <f t="shared" si="2"/>
        <v>1.1491430886944914E-2</v>
      </c>
      <c r="R29" s="154">
        <f t="shared" si="3"/>
        <v>0.30721647324735307</v>
      </c>
      <c r="S29" s="107"/>
      <c r="U29" s="38"/>
      <c r="V29" s="22"/>
    </row>
    <row r="30" spans="1:22">
      <c r="B30" s="109" t="s">
        <v>56</v>
      </c>
      <c r="C30" s="110">
        <f>VLOOKUP($B30,'County Data'!$B$10:$C$46,2,FALSE)</f>
        <v>51900</v>
      </c>
      <c r="D30" s="139">
        <f>VLOOKUP($B30,Floor!$B$6:$M$45,4,FALSE)</f>
        <v>9000</v>
      </c>
      <c r="E30" s="111">
        <f>VLOOKUP($B30,Population!$B$7:$F$40,4,FALSE)</f>
        <v>0</v>
      </c>
      <c r="F30" s="111">
        <f>VLOOKUP($B30,Burden!$B$6:$H$40,6,FALSE)</f>
        <v>988.33284765567885</v>
      </c>
      <c r="G30" s="111">
        <f>VLOOKUP($B30,'Health Status'!$B$6:$H$40,6,FALSE)</f>
        <v>1017.2609790927246</v>
      </c>
      <c r="H30" s="111">
        <f>VLOOKUP($B30,Ethnicity!$B$6:$H$40,6,FALSE)</f>
        <v>408.94679305796711</v>
      </c>
      <c r="I30" s="111">
        <f>VLOOKUP($B30,Poverty!$B$6:$H$40,6,FALSE)</f>
        <v>400.46214956877174</v>
      </c>
      <c r="J30" s="111">
        <f>VLOOKUP($B30,Rurality!$B$6:$H$40,6,FALSE)</f>
        <v>2063.6855892594858</v>
      </c>
      <c r="K30" s="111">
        <f>VLOOKUP($B30,Education!$B$6:$H$40,6,FALSE)</f>
        <v>427.31488753598251</v>
      </c>
      <c r="L30" s="140">
        <f>VLOOKUP($B30,Language!$B$6:$H$40,6,FALSE)</f>
        <v>209.29676306030072</v>
      </c>
      <c r="M30" s="176">
        <f>VLOOKUP($B30,Matching!$B$7:$L$40,10,FALSE)</f>
        <v>0</v>
      </c>
      <c r="N30" s="177">
        <f>VLOOKUP($B30,Incentives!$B$7:$Y$40,23,FALSE)</f>
        <v>0</v>
      </c>
      <c r="O30" s="153">
        <f t="shared" si="1"/>
        <v>14515.30000923091</v>
      </c>
      <c r="P30" s="112">
        <f t="shared" si="0"/>
        <v>1.8144125011538642E-2</v>
      </c>
      <c r="Q30" s="112">
        <f t="shared" si="2"/>
        <v>1.2370986580220723E-2</v>
      </c>
      <c r="R30" s="154">
        <f t="shared" si="3"/>
        <v>0.27967822753816785</v>
      </c>
      <c r="S30" s="107"/>
      <c r="U30" s="38"/>
      <c r="V30" s="22"/>
    </row>
    <row r="31" spans="1:22">
      <c r="B31" s="109" t="s">
        <v>57</v>
      </c>
      <c r="C31" s="110">
        <f>VLOOKUP($B31,'County Data'!$B$10:$C$46,2,FALSE)</f>
        <v>63275</v>
      </c>
      <c r="D31" s="139">
        <f>VLOOKUP($B31,Floor!$B$6:$M$45,4,FALSE)</f>
        <v>9000</v>
      </c>
      <c r="E31" s="111">
        <f>VLOOKUP($B31,Population!$B$7:$F$40,4,FALSE)</f>
        <v>0</v>
      </c>
      <c r="F31" s="111">
        <f>VLOOKUP($B31,Burden!$B$6:$H$40,6,FALSE)</f>
        <v>1604.3854417012442</v>
      </c>
      <c r="G31" s="111">
        <f>VLOOKUP($B31,'Health Status'!$B$6:$H$40,6,FALSE)</f>
        <v>1413.717238158303</v>
      </c>
      <c r="H31" s="111">
        <f>VLOOKUP($B31,Ethnicity!$B$6:$H$40,6,FALSE)</f>
        <v>658.66956561258837</v>
      </c>
      <c r="I31" s="111">
        <f>VLOOKUP($B31,Poverty!$B$6:$H$40,6,FALSE)</f>
        <v>689.26875250497199</v>
      </c>
      <c r="J31" s="111">
        <f>VLOOKUP($B31,Rurality!$B$6:$H$40,6,FALSE)</f>
        <v>2215.9148226826151</v>
      </c>
      <c r="K31" s="111">
        <f>VLOOKUP($B31,Education!$B$6:$H$40,6,FALSE)</f>
        <v>575.80908598075769</v>
      </c>
      <c r="L31" s="140">
        <f>VLOOKUP($B31,Language!$B$6:$H$40,6,FALSE)</f>
        <v>273.39497693312404</v>
      </c>
      <c r="M31" s="176">
        <f>VLOOKUP($B31,Matching!$B$7:$L$40,10,FALSE)</f>
        <v>0</v>
      </c>
      <c r="N31" s="177">
        <f>VLOOKUP($B31,Incentives!$B$7:$Y$40,23,FALSE)</f>
        <v>0</v>
      </c>
      <c r="O31" s="153">
        <f t="shared" si="1"/>
        <v>16431.159883573604</v>
      </c>
      <c r="P31" s="112">
        <f t="shared" si="0"/>
        <v>2.0538949854467012E-2</v>
      </c>
      <c r="Q31" s="112">
        <f t="shared" si="2"/>
        <v>1.508235406287989E-2</v>
      </c>
      <c r="R31" s="154">
        <f t="shared" si="3"/>
        <v>0.2596785441892312</v>
      </c>
      <c r="S31" s="107"/>
      <c r="U31" s="38"/>
      <c r="V31" s="22"/>
    </row>
    <row r="32" spans="1:22">
      <c r="B32" s="109" t="s">
        <v>68</v>
      </c>
      <c r="C32" s="110">
        <f>VLOOKUP($B32,'County Data'!$B$10:$C$46,2,FALSE)</f>
        <v>67960</v>
      </c>
      <c r="D32" s="139">
        <f>VLOOKUP($B32,Floor!$B$6:$M$45,4,FALSE)</f>
        <v>9000</v>
      </c>
      <c r="E32" s="111">
        <f>VLOOKUP($B32,Population!$B$7:$F$40,4,FALSE)</f>
        <v>0</v>
      </c>
      <c r="F32" s="111">
        <f>VLOOKUP($B32,Burden!$B$6:$H$40,6,FALSE)</f>
        <v>1662.9135602427868</v>
      </c>
      <c r="G32" s="111">
        <f>VLOOKUP($B32,'Health Status'!$B$6:$H$40,6,FALSE)</f>
        <v>1483.8826230111151</v>
      </c>
      <c r="H32" s="111">
        <f>VLOOKUP($B32,Ethnicity!$B$6:$H$40,6,FALSE)</f>
        <v>1046.4197422663099</v>
      </c>
      <c r="I32" s="111">
        <f>VLOOKUP($B32,Poverty!$B$6:$H$40,6,FALSE)</f>
        <v>778.26778965636504</v>
      </c>
      <c r="J32" s="111">
        <f>VLOOKUP($B32,Rurality!$B$6:$H$40,6,FALSE)</f>
        <v>2330.4022960051998</v>
      </c>
      <c r="K32" s="111">
        <f>VLOOKUP($B32,Education!$B$6:$H$40,6,FALSE)</f>
        <v>742.13168834299086</v>
      </c>
      <c r="L32" s="140">
        <f>VLOOKUP($B32,Language!$B$6:$H$40,6,FALSE)</f>
        <v>626.42699774634923</v>
      </c>
      <c r="M32" s="176">
        <f>VLOOKUP($B32,Matching!$B$7:$L$40,10,FALSE)</f>
        <v>0</v>
      </c>
      <c r="N32" s="177">
        <f>VLOOKUP($B32,Incentives!$B$7:$Y$40,23,FALSE)</f>
        <v>0</v>
      </c>
      <c r="O32" s="153">
        <f t="shared" si="1"/>
        <v>17670.444697271116</v>
      </c>
      <c r="P32" s="112">
        <f t="shared" si="0"/>
        <v>2.2088055871588901E-2</v>
      </c>
      <c r="Q32" s="112">
        <f t="shared" si="2"/>
        <v>1.6199079922770719E-2</v>
      </c>
      <c r="R32" s="154">
        <f t="shared" si="3"/>
        <v>0.26001242933006352</v>
      </c>
      <c r="S32" s="114">
        <f>SUM(O20:O32)/SUM(C20:C32)</f>
        <v>0.39621721373393309</v>
      </c>
      <c r="U32" s="38"/>
      <c r="V32" s="22"/>
    </row>
    <row r="33" spans="1:22">
      <c r="A33" s="41"/>
      <c r="B33" s="115" t="s">
        <v>79</v>
      </c>
      <c r="C33" s="116">
        <f>VLOOKUP($B33,'County Data'!$B$10:$C$46,2,FALSE)</f>
        <v>80765</v>
      </c>
      <c r="D33" s="141">
        <f>VLOOKUP($B33,Floor!$B$6:$M$45,4,FALSE)</f>
        <v>12000</v>
      </c>
      <c r="E33" s="117">
        <f>VLOOKUP($B33,Population!$B$7:$F$40,4,FALSE)</f>
        <v>0</v>
      </c>
      <c r="F33" s="117">
        <f>VLOOKUP($B33,Burden!$B$6:$H$40,6,FALSE)</f>
        <v>1444.7334970792856</v>
      </c>
      <c r="G33" s="117">
        <f>VLOOKUP($B33,'Health Status'!$B$6:$H$40,6,FALSE)</f>
        <v>1804.4863333047067</v>
      </c>
      <c r="H33" s="117">
        <f>VLOOKUP($B33,Ethnicity!$B$6:$H$40,6,FALSE)</f>
        <v>1926.6822143214395</v>
      </c>
      <c r="I33" s="117">
        <f>VLOOKUP($B33,Poverty!$B$6:$H$40,6,FALSE)</f>
        <v>837.49358551049181</v>
      </c>
      <c r="J33" s="117">
        <f>VLOOKUP($B33,Rurality!$B$6:$H$40,6,FALSE)</f>
        <v>2143.4130510956952</v>
      </c>
      <c r="K33" s="117">
        <f>VLOOKUP($B33,Education!$B$6:$H$40,6,FALSE)</f>
        <v>1259.9484110195419</v>
      </c>
      <c r="L33" s="142">
        <f>VLOOKUP($B33,Language!$B$6:$H$40,6,FALSE)</f>
        <v>2442.7533336076858</v>
      </c>
      <c r="M33" s="178">
        <f>VLOOKUP($B33,Matching!$B$7:$L$40,10,FALSE)</f>
        <v>0</v>
      </c>
      <c r="N33" s="179">
        <f>VLOOKUP($B33,Incentives!$B$7:$Y$40,23,FALSE)</f>
        <v>0</v>
      </c>
      <c r="O33" s="155">
        <f>SUM(D33:N33)</f>
        <v>23859.510425938846</v>
      </c>
      <c r="P33" s="118">
        <f t="shared" si="0"/>
        <v>2.9824388032423568E-2</v>
      </c>
      <c r="Q33" s="118">
        <f t="shared" si="2"/>
        <v>1.9251305031821323E-2</v>
      </c>
      <c r="R33" s="156">
        <f>O33/C33</f>
        <v>0.2954189367416436</v>
      </c>
      <c r="S33" s="107"/>
      <c r="U33" s="38"/>
      <c r="V33" s="22"/>
    </row>
    <row r="34" spans="1:22">
      <c r="A34" s="41"/>
      <c r="B34" s="115" t="s">
        <v>77</v>
      </c>
      <c r="C34" s="116">
        <f>VLOOKUP($B34,'County Data'!$B$10:$C$46,2,FALSE)</f>
        <v>82100</v>
      </c>
      <c r="D34" s="141">
        <f>VLOOKUP($B34,Floor!$B$6:$M$45,4,FALSE)</f>
        <v>12000</v>
      </c>
      <c r="E34" s="117">
        <f>VLOOKUP($B34,Population!$B$7:$F$40,4,FALSE)</f>
        <v>0</v>
      </c>
      <c r="F34" s="117">
        <f>VLOOKUP($B34,Burden!$B$6:$H$40,6,FALSE)</f>
        <v>1278.5681265016244</v>
      </c>
      <c r="G34" s="117">
        <f>VLOOKUP($B34,'Health Status'!$B$6:$H$40,6,FALSE)</f>
        <v>1208.9793370680304</v>
      </c>
      <c r="H34" s="117">
        <f>VLOOKUP($B34,Ethnicity!$B$6:$H$40,6,FALSE)</f>
        <v>1252.2716923551766</v>
      </c>
      <c r="I34" s="117">
        <f>VLOOKUP($B34,Poverty!$B$6:$H$40,6,FALSE)</f>
        <v>687.94899651287972</v>
      </c>
      <c r="J34" s="117">
        <f>VLOOKUP($B34,Rurality!$B$6:$H$40,6,FALSE)</f>
        <v>1489.9987974740836</v>
      </c>
      <c r="K34" s="117">
        <f>VLOOKUP($B34,Education!$B$6:$H$40,6,FALSE)</f>
        <v>661.73356876655248</v>
      </c>
      <c r="L34" s="142">
        <f>VLOOKUP($B34,Language!$B$6:$H$40,6,FALSE)</f>
        <v>1206.0920404758947</v>
      </c>
      <c r="M34" s="178">
        <f>VLOOKUP($B34,Matching!$B$7:$L$40,10,FALSE)</f>
        <v>0</v>
      </c>
      <c r="N34" s="179">
        <f>VLOOKUP($B34,Incentives!$B$7:$Y$40,23,FALSE)</f>
        <v>0</v>
      </c>
      <c r="O34" s="155">
        <f t="shared" si="1"/>
        <v>19785.59255915424</v>
      </c>
      <c r="P34" s="118">
        <f t="shared" si="0"/>
        <v>2.4731990698942809E-2</v>
      </c>
      <c r="Q34" s="118">
        <f t="shared" si="2"/>
        <v>1.9569518270445497E-2</v>
      </c>
      <c r="R34" s="156">
        <f t="shared" si="3"/>
        <v>0.24099381923452182</v>
      </c>
      <c r="S34" s="107"/>
      <c r="U34" s="38"/>
      <c r="V34" s="22"/>
    </row>
    <row r="35" spans="1:22">
      <c r="B35" s="115" t="s">
        <v>67</v>
      </c>
      <c r="C35" s="116">
        <f>VLOOKUP($B35,'County Data'!$B$10:$C$46,2,FALSE)</f>
        <v>86395</v>
      </c>
      <c r="D35" s="141">
        <f>VLOOKUP($B35,Floor!$B$6:$M$45,4,FALSE)</f>
        <v>12000</v>
      </c>
      <c r="E35" s="117">
        <f>VLOOKUP($B35,Population!$B$7:$F$40,4,FALSE)</f>
        <v>0</v>
      </c>
      <c r="F35" s="117">
        <f>VLOOKUP($B35,Burden!$B$6:$H$40,6,FALSE)</f>
        <v>2215.8929139153684</v>
      </c>
      <c r="G35" s="117">
        <f>VLOOKUP($B35,'Health Status'!$B$6:$H$40,6,FALSE)</f>
        <v>1675.8289753256806</v>
      </c>
      <c r="H35" s="117">
        <f>VLOOKUP($B35,Ethnicity!$B$6:$H$40,6,FALSE)</f>
        <v>786.92275750236468</v>
      </c>
      <c r="I35" s="117">
        <f>VLOOKUP($B35,Poverty!$B$6:$H$40,6,FALSE)</f>
        <v>1040.6616410899783</v>
      </c>
      <c r="J35" s="117">
        <f>VLOOKUP($B35,Rurality!$B$6:$H$40,6,FALSE)</f>
        <v>3545.6087225713254</v>
      </c>
      <c r="K35" s="117">
        <f>VLOOKUP($B35,Education!$B$6:$H$40,6,FALSE)</f>
        <v>816.15410166213599</v>
      </c>
      <c r="L35" s="142">
        <f>VLOOKUP($B35,Language!$B$6:$H$40,6,FALSE)</f>
        <v>323.51846955646971</v>
      </c>
      <c r="M35" s="178">
        <f>VLOOKUP($B35,Matching!$B$7:$L$40,10,FALSE)</f>
        <v>0</v>
      </c>
      <c r="N35" s="179">
        <f>VLOOKUP($B35,Incentives!$B$7:$Y$40,23,FALSE)</f>
        <v>0</v>
      </c>
      <c r="O35" s="155">
        <f t="shared" si="1"/>
        <v>22404.587581623324</v>
      </c>
      <c r="P35" s="118">
        <f t="shared" si="0"/>
        <v>2.8005734477029164E-2</v>
      </c>
      <c r="Q35" s="118">
        <f t="shared" si="2"/>
        <v>2.0593282959502301E-2</v>
      </c>
      <c r="R35" s="156">
        <f t="shared" si="3"/>
        <v>0.25932736363936948</v>
      </c>
      <c r="S35" s="107"/>
      <c r="U35" s="38"/>
      <c r="V35" s="22"/>
    </row>
    <row r="36" spans="1:22">
      <c r="B36" s="115" t="s">
        <v>53</v>
      </c>
      <c r="C36" s="116">
        <f>VLOOKUP($B36,'County Data'!$B$10:$C$46,2,FALSE)</f>
        <v>93590</v>
      </c>
      <c r="D36" s="141">
        <f>VLOOKUP($B36,Floor!$B$6:$M$45,4,FALSE)</f>
        <v>12000</v>
      </c>
      <c r="E36" s="117">
        <f>VLOOKUP($B36,Population!$B$7:$F$40,4,FALSE)</f>
        <v>0</v>
      </c>
      <c r="F36" s="117">
        <f>VLOOKUP($B36,Burden!$B$6:$H$40,6,FALSE)</f>
        <v>1079.3344107343714</v>
      </c>
      <c r="G36" s="117">
        <f>VLOOKUP($B36,'Health Status'!$B$6:$H$40,6,FALSE)</f>
        <v>1349.6635233886316</v>
      </c>
      <c r="H36" s="117">
        <f>VLOOKUP($B36,Ethnicity!$B$6:$H$40,6,FALSE)</f>
        <v>1265.1557826004835</v>
      </c>
      <c r="I36" s="117">
        <f>VLOOKUP($B36,Poverty!$B$6:$H$40,6,FALSE)</f>
        <v>957.41209647820949</v>
      </c>
      <c r="J36" s="117">
        <f>VLOOKUP($B36,Rurality!$B$6:$H$40,6,FALSE)</f>
        <v>1604.6376610000491</v>
      </c>
      <c r="K36" s="117">
        <f>VLOOKUP($B36,Education!$B$6:$H$40,6,FALSE)</f>
        <v>373.11640095865727</v>
      </c>
      <c r="L36" s="142">
        <f>VLOOKUP($B36,Language!$B$6:$H$40,6,FALSE)</f>
        <v>1132.259193919858</v>
      </c>
      <c r="M36" s="178">
        <f>VLOOKUP($B36,Matching!$B$7:$L$40,10,FALSE)</f>
        <v>0</v>
      </c>
      <c r="N36" s="179">
        <f>VLOOKUP($B36,Incentives!$B$7:$Y$40,23,FALSE)</f>
        <v>0</v>
      </c>
      <c r="O36" s="155">
        <f t="shared" si="1"/>
        <v>19761.579069080257</v>
      </c>
      <c r="P36" s="118">
        <f t="shared" si="0"/>
        <v>2.4701973836350328E-2</v>
      </c>
      <c r="Q36" s="118">
        <f t="shared" si="2"/>
        <v>2.2308297380401878E-2</v>
      </c>
      <c r="R36" s="156">
        <f t="shared" si="3"/>
        <v>0.21115054032567857</v>
      </c>
      <c r="S36" s="107"/>
      <c r="U36" s="38"/>
      <c r="V36" s="22"/>
    </row>
    <row r="37" spans="1:22">
      <c r="B37" s="115" t="s">
        <v>84</v>
      </c>
      <c r="C37" s="116">
        <f>VLOOKUP($B37,'County Data'!$B$10:$C$46,2,FALSE)</f>
        <v>107415</v>
      </c>
      <c r="D37" s="141">
        <f>VLOOKUP($B37,Floor!$B$6:$M$45,4,FALSE)</f>
        <v>12000</v>
      </c>
      <c r="E37" s="117">
        <f>VLOOKUP($B37,Population!$B$7:$F$40,4,FALSE)</f>
        <v>0</v>
      </c>
      <c r="F37" s="117">
        <f>VLOOKUP($B37,Burden!$B$6:$H$40,6,FALSE)</f>
        <v>1676.1402675777217</v>
      </c>
      <c r="G37" s="117">
        <f>VLOOKUP($B37,'Health Status'!$B$6:$H$40,6,FALSE)</f>
        <v>2083.5600368610217</v>
      </c>
      <c r="H37" s="117">
        <f>VLOOKUP($B37,Ethnicity!$B$6:$H$40,6,FALSE)</f>
        <v>1739.345677095336</v>
      </c>
      <c r="I37" s="117">
        <f>VLOOKUP($B37,Poverty!$B$6:$H$40,6,FALSE)</f>
        <v>828.81776100057073</v>
      </c>
      <c r="J37" s="117">
        <f>VLOOKUP($B37,Rurality!$B$6:$H$40,6,FALSE)</f>
        <v>2213.9257742876002</v>
      </c>
      <c r="K37" s="117">
        <f>VLOOKUP($B37,Education!$B$6:$H$40,6,FALSE)</f>
        <v>1089.2005580422422</v>
      </c>
      <c r="L37" s="142">
        <f>VLOOKUP($B37,Language!$B$6:$H$40,6,FALSE)</f>
        <v>1670.8051712394699</v>
      </c>
      <c r="M37" s="178">
        <f>VLOOKUP($B37,Matching!$B$7:$L$40,10,FALSE)</f>
        <v>0</v>
      </c>
      <c r="N37" s="179">
        <f>VLOOKUP($B37,Incentives!$B$7:$Y$40,23,FALSE)</f>
        <v>0</v>
      </c>
      <c r="O37" s="155">
        <f t="shared" si="1"/>
        <v>23301.795246103957</v>
      </c>
      <c r="P37" s="118">
        <f t="shared" si="0"/>
        <v>2.9127244057629953E-2</v>
      </c>
      <c r="Q37" s="118">
        <f t="shared" si="2"/>
        <v>2.5603651705479943E-2</v>
      </c>
      <c r="R37" s="156">
        <f t="shared" si="3"/>
        <v>0.21693241396549789</v>
      </c>
      <c r="S37" s="107"/>
      <c r="U37" s="38"/>
      <c r="V37" s="22"/>
    </row>
    <row r="38" spans="1:22">
      <c r="B38" s="115" t="s">
        <v>61</v>
      </c>
      <c r="C38" s="116">
        <f>VLOOKUP($B38,'County Data'!$B$10:$C$46,2,FALSE)</f>
        <v>111735</v>
      </c>
      <c r="D38" s="141">
        <f>VLOOKUP($B38,Floor!$B$6:$M$45,4,FALSE)</f>
        <v>12000</v>
      </c>
      <c r="E38" s="117">
        <f>VLOOKUP($B38,Population!$B$7:$F$40,4,FALSE)</f>
        <v>0</v>
      </c>
      <c r="F38" s="117">
        <f>VLOOKUP($B38,Burden!$B$6:$H$40,6,FALSE)</f>
        <v>2884.3006081958915</v>
      </c>
      <c r="G38" s="117">
        <f>VLOOKUP($B38,'Health Status'!$B$6:$H$40,6,FALSE)</f>
        <v>2655.2951956980428</v>
      </c>
      <c r="H38" s="117">
        <f>VLOOKUP($B38,Ethnicity!$B$6:$H$40,6,FALSE)</f>
        <v>936.95810768600631</v>
      </c>
      <c r="I38" s="117">
        <f>VLOOKUP($B38,Poverty!$B$6:$H$40,6,FALSE)</f>
        <v>1076.7134993199954</v>
      </c>
      <c r="J38" s="117">
        <f>VLOOKUP($B38,Rurality!$B$6:$H$40,6,FALSE)</f>
        <v>4198.325760467128</v>
      </c>
      <c r="K38" s="117">
        <f>VLOOKUP($B38,Education!$B$6:$H$40,6,FALSE)</f>
        <v>1026.4839407030317</v>
      </c>
      <c r="L38" s="142">
        <f>VLOOKUP($B38,Language!$B$6:$H$40,6,FALSE)</f>
        <v>386.22252387353763</v>
      </c>
      <c r="M38" s="178">
        <f>VLOOKUP($B38,Matching!$B$7:$L$40,10,FALSE)</f>
        <v>0</v>
      </c>
      <c r="N38" s="179">
        <f>VLOOKUP($B38,Incentives!$B$7:$Y$40,23,FALSE)</f>
        <v>0</v>
      </c>
      <c r="O38" s="155">
        <f t="shared" si="1"/>
        <v>25164.299635943629</v>
      </c>
      <c r="P38" s="118">
        <f t="shared" si="0"/>
        <v>3.1455374544929547E-2</v>
      </c>
      <c r="Q38" s="118">
        <f t="shared" si="2"/>
        <v>2.663337544394918E-2</v>
      </c>
      <c r="R38" s="156">
        <f t="shared" si="3"/>
        <v>0.22521411944282121</v>
      </c>
      <c r="S38" s="107"/>
      <c r="U38" s="38"/>
      <c r="V38" s="22"/>
    </row>
    <row r="39" spans="1:22">
      <c r="B39" s="115" t="s">
        <v>72</v>
      </c>
      <c r="C39" s="116">
        <f>VLOOKUP($B39,'County Data'!$B$10:$C$46,2,FALSE)</f>
        <v>125575</v>
      </c>
      <c r="D39" s="141">
        <f>VLOOKUP($B39,Floor!$B$6:$M$45,4,FALSE)</f>
        <v>12000</v>
      </c>
      <c r="E39" s="117">
        <f>VLOOKUP($B39,Population!$B$7:$F$40,4,FALSE)</f>
        <v>0</v>
      </c>
      <c r="F39" s="117">
        <f>VLOOKUP($B39,Burden!$B$6:$H$40,6,FALSE)</f>
        <v>2402.8230099418861</v>
      </c>
      <c r="G39" s="117">
        <f>VLOOKUP($B39,'Health Status'!$B$6:$H$40,6,FALSE)</f>
        <v>2410.3089308822782</v>
      </c>
      <c r="H39" s="117">
        <f>VLOOKUP($B39,Ethnicity!$B$6:$H$40,6,FALSE)</f>
        <v>1298.1120319545976</v>
      </c>
      <c r="I39" s="117">
        <f>VLOOKUP($B39,Poverty!$B$6:$H$40,6,FALSE)</f>
        <v>1196.9270351060511</v>
      </c>
      <c r="J39" s="117">
        <f>VLOOKUP($B39,Rurality!$B$6:$H$40,6,FALSE)</f>
        <v>3618.9280924554159</v>
      </c>
      <c r="K39" s="117">
        <f>VLOOKUP($B39,Education!$B$6:$H$40,6,FALSE)</f>
        <v>1066.5625324466967</v>
      </c>
      <c r="L39" s="142">
        <f>VLOOKUP($B39,Language!$B$6:$H$40,6,FALSE)</f>
        <v>759.60812200281111</v>
      </c>
      <c r="M39" s="178">
        <f>VLOOKUP($B39,Matching!$B$7:$L$40,10,FALSE)</f>
        <v>0</v>
      </c>
      <c r="N39" s="179">
        <f>VLOOKUP($B39,Incentives!$B$7:$Y$40,23,FALSE)</f>
        <v>0</v>
      </c>
      <c r="O39" s="155">
        <f t="shared" si="1"/>
        <v>24753.269754789737</v>
      </c>
      <c r="P39" s="118">
        <f t="shared" si="0"/>
        <v>3.0941587193487181E-2</v>
      </c>
      <c r="Q39" s="118">
        <f t="shared" si="2"/>
        <v>2.9932305198674708E-2</v>
      </c>
      <c r="R39" s="156">
        <f t="shared" si="3"/>
        <v>0.19711940875803094</v>
      </c>
      <c r="S39" s="119">
        <f>SUM(O34:O39)/SUM(C34:C39)</f>
        <v>0.22275691542112877</v>
      </c>
      <c r="U39" s="38"/>
      <c r="V39" s="22"/>
    </row>
    <row r="40" spans="1:22">
      <c r="B40" s="120" t="s">
        <v>60</v>
      </c>
      <c r="C40" s="121">
        <f>VLOOKUP($B40,'County Data'!$B$10:$C$46,2,FALSE)</f>
        <v>188980</v>
      </c>
      <c r="D40" s="143">
        <f>VLOOKUP($B40,Floor!$B$6:$M$45,4,FALSE)</f>
        <v>15000</v>
      </c>
      <c r="E40" s="122">
        <f>VLOOKUP($B40,Population!$B$7:$F$40,4,FALSE)</f>
        <v>0</v>
      </c>
      <c r="F40" s="122">
        <f>VLOOKUP($B40,Burden!$B$6:$H$40,6,FALSE)</f>
        <v>2760.2271071376522</v>
      </c>
      <c r="G40" s="122">
        <f>VLOOKUP($B40,'Health Status'!$B$6:$H$40,6,FALSE)</f>
        <v>2187.9047690855787</v>
      </c>
      <c r="H40" s="122">
        <f>VLOOKUP($B40,Ethnicity!$B$6:$H$40,6,FALSE)</f>
        <v>1680.3273919689664</v>
      </c>
      <c r="I40" s="122">
        <f>VLOOKUP($B40,Poverty!$B$6:$H$40,6,FALSE)</f>
        <v>1332.8124987273045</v>
      </c>
      <c r="J40" s="122">
        <f>VLOOKUP($B40,Rurality!$B$6:$H$40,6,FALSE)</f>
        <v>4756.7969248236341</v>
      </c>
      <c r="K40" s="122">
        <f>VLOOKUP($B40,Education!$B$6:$H$40,6,FALSE)</f>
        <v>1064.5995099940671</v>
      </c>
      <c r="L40" s="144">
        <f>VLOOKUP($B40,Language!$B$6:$H$40,6,FALSE)</f>
        <v>1143.1474648305095</v>
      </c>
      <c r="M40" s="180">
        <f>VLOOKUP($B40,Matching!$B$7:$L$40,10,FALSE)</f>
        <v>0</v>
      </c>
      <c r="N40" s="181">
        <f>VLOOKUP($B40,Incentives!$B$7:$Y$40,23,FALSE)</f>
        <v>0</v>
      </c>
      <c r="O40" s="157">
        <f t="shared" si="1"/>
        <v>29925.815666567712</v>
      </c>
      <c r="P40" s="123">
        <f t="shared" si="0"/>
        <v>3.7407269583209654E-2</v>
      </c>
      <c r="Q40" s="123">
        <f t="shared" si="2"/>
        <v>4.504564631849927E-2</v>
      </c>
      <c r="R40" s="158">
        <f t="shared" si="3"/>
        <v>0.15835440610947038</v>
      </c>
      <c r="S40" s="107"/>
      <c r="U40" s="38"/>
      <c r="V40" s="22"/>
    </row>
    <row r="41" spans="1:22">
      <c r="B41" s="120" t="s">
        <v>65</v>
      </c>
      <c r="C41" s="121">
        <f>VLOOKUP($B41,'County Data'!$B$10:$C$46,2,FALSE)</f>
        <v>219200</v>
      </c>
      <c r="D41" s="143">
        <f>VLOOKUP($B41,Floor!$B$6:$M$45,4,FALSE)</f>
        <v>15000</v>
      </c>
      <c r="E41" s="122">
        <f>VLOOKUP($B41,Population!$B$7:$F$40,4,FALSE)</f>
        <v>0</v>
      </c>
      <c r="F41" s="122">
        <f>VLOOKUP($B41,Burden!$B$6:$H$40,6,FALSE)</f>
        <v>4336.6461631735501</v>
      </c>
      <c r="G41" s="122">
        <f>VLOOKUP($B41,'Health Status'!$B$6:$H$40,6,FALSE)</f>
        <v>4096.0579449869765</v>
      </c>
      <c r="H41" s="122">
        <f>VLOOKUP($B41,Ethnicity!$B$6:$H$40,6,FALSE)</f>
        <v>2899.7769312916648</v>
      </c>
      <c r="I41" s="122">
        <f>VLOOKUP($B41,Poverty!$B$6:$H$40,6,FALSE)</f>
        <v>2104.626751410698</v>
      </c>
      <c r="J41" s="122">
        <f>VLOOKUP($B41,Rurality!$B$6:$H$40,6,FALSE)</f>
        <v>4018.1513546826795</v>
      </c>
      <c r="K41" s="122">
        <f>VLOOKUP($B41,Education!$B$6:$H$40,6,FALSE)</f>
        <v>2032.7379166867349</v>
      </c>
      <c r="L41" s="144">
        <f>VLOOKUP($B41,Language!$B$6:$H$40,6,FALSE)</f>
        <v>2083.6348269653063</v>
      </c>
      <c r="M41" s="180">
        <f>VLOOKUP($B41,Matching!$B$7:$L$40,10,FALSE)</f>
        <v>0</v>
      </c>
      <c r="N41" s="181">
        <f>VLOOKUP($B41,Incentives!$B$7:$Y$40,23,FALSE)</f>
        <v>0</v>
      </c>
      <c r="O41" s="157">
        <f t="shared" si="1"/>
        <v>36571.631889197612</v>
      </c>
      <c r="P41" s="123">
        <f t="shared" si="0"/>
        <v>4.5714539861497025E-2</v>
      </c>
      <c r="Q41" s="123">
        <f t="shared" si="2"/>
        <v>5.2248945248253999E-2</v>
      </c>
      <c r="R41" s="158">
        <f t="shared" si="3"/>
        <v>0.16684138635582851</v>
      </c>
      <c r="S41" s="107"/>
      <c r="U41" s="38"/>
      <c r="V41" s="22"/>
    </row>
    <row r="42" spans="1:22">
      <c r="B42" s="120" t="s">
        <v>74</v>
      </c>
      <c r="C42" s="121">
        <f>VLOOKUP($B42,'County Data'!$B$10:$C$46,2,FALSE)</f>
        <v>344035</v>
      </c>
      <c r="D42" s="143">
        <f>VLOOKUP($B42,Floor!$B$6:$M$45,4,FALSE)</f>
        <v>15000</v>
      </c>
      <c r="E42" s="122">
        <f>VLOOKUP($B42,Population!$B$7:$F$40,4,FALSE)</f>
        <v>0</v>
      </c>
      <c r="F42" s="122">
        <f>VLOOKUP($B42,Burden!$B$6:$H$40,6,FALSE)</f>
        <v>5706.8804056393665</v>
      </c>
      <c r="G42" s="122">
        <f>VLOOKUP($B42,'Health Status'!$B$6:$H$40,6,FALSE)</f>
        <v>6848.0420362658806</v>
      </c>
      <c r="H42" s="122">
        <f>VLOOKUP($B42,Ethnicity!$B$6:$H$40,6,FALSE)</f>
        <v>8381.1860057358226</v>
      </c>
      <c r="I42" s="122">
        <f>VLOOKUP($B42,Poverty!$B$6:$H$40,6,FALSE)</f>
        <v>3375.2876460262742</v>
      </c>
      <c r="J42" s="122">
        <f>VLOOKUP($B42,Rurality!$B$6:$H$40,6,FALSE)</f>
        <v>4110.2061742242586</v>
      </c>
      <c r="K42" s="122">
        <f>VLOOKUP($B42,Education!$B$6:$H$40,6,FALSE)</f>
        <v>4502.3228632693845</v>
      </c>
      <c r="L42" s="144">
        <f>VLOOKUP($B42,Language!$B$6:$H$40,6,FALSE)</f>
        <v>10702.703664988523</v>
      </c>
      <c r="M42" s="180">
        <f>VLOOKUP($B42,Matching!$B$7:$L$40,10,FALSE)</f>
        <v>0</v>
      </c>
      <c r="N42" s="181">
        <f>VLOOKUP($B42,Incentives!$B$7:$Y$40,23,FALSE)</f>
        <v>0</v>
      </c>
      <c r="O42" s="157">
        <f t="shared" si="1"/>
        <v>58626.628796149511</v>
      </c>
      <c r="P42" s="123">
        <f t="shared" si="0"/>
        <v>7.3283285995186909E-2</v>
      </c>
      <c r="Q42" s="123">
        <f t="shared" si="2"/>
        <v>8.2004862584320548E-2</v>
      </c>
      <c r="R42" s="158">
        <f t="shared" si="3"/>
        <v>0.17040890838475595</v>
      </c>
      <c r="S42" s="107"/>
      <c r="U42" s="38"/>
      <c r="V42" s="22"/>
    </row>
    <row r="43" spans="1:22">
      <c r="B43" s="120" t="s">
        <v>70</v>
      </c>
      <c r="C43" s="121">
        <f>VLOOKUP($B43,'County Data'!$B$10:$C$46,2,FALSE)</f>
        <v>375120</v>
      </c>
      <c r="D43" s="143">
        <f>VLOOKUP($B43,Floor!$B$6:$M$45,4,FALSE)</f>
        <v>18000</v>
      </c>
      <c r="E43" s="122">
        <f>VLOOKUP($B43,Population!$B$7:$F$40,4,FALSE)</f>
        <v>0</v>
      </c>
      <c r="F43" s="122">
        <f>VLOOKUP($B43,Burden!$B$6:$H$40,6,FALSE)</f>
        <v>6733.8213851537639</v>
      </c>
      <c r="G43" s="122">
        <f>VLOOKUP($B43,'Health Status'!$B$6:$H$40,6,FALSE)</f>
        <v>6133.4356719118396</v>
      </c>
      <c r="H43" s="122">
        <f>VLOOKUP($B43,Ethnicity!$B$6:$H$40,6,FALSE)</f>
        <v>4718.3746188102414</v>
      </c>
      <c r="I43" s="122">
        <f>VLOOKUP($B43,Poverty!$B$6:$H$40,6,FALSE)</f>
        <v>3811.229061278229</v>
      </c>
      <c r="J43" s="122">
        <f>VLOOKUP($B43,Rurality!$B$6:$H$40,6,FALSE)</f>
        <v>5986.8441512669124</v>
      </c>
      <c r="K43" s="122">
        <f>VLOOKUP($B43,Education!$B$6:$H$40,6,FALSE)</f>
        <v>2763.4156073546919</v>
      </c>
      <c r="L43" s="144">
        <f>VLOOKUP($B43,Language!$B$6:$H$40,6,FALSE)</f>
        <v>2809.3812905844757</v>
      </c>
      <c r="M43" s="180">
        <f>VLOOKUP($B43,Matching!$B$7:$L$40,10,FALSE)</f>
        <v>0</v>
      </c>
      <c r="N43" s="181">
        <f>VLOOKUP($B43,Incentives!$B$7:$Y$40,23,FALSE)</f>
        <v>0</v>
      </c>
      <c r="O43" s="157">
        <f t="shared" si="1"/>
        <v>50956.501786360161</v>
      </c>
      <c r="P43" s="123">
        <f t="shared" si="0"/>
        <v>6.3695627232950219E-2</v>
      </c>
      <c r="Q43" s="123">
        <f t="shared" si="2"/>
        <v>8.9414344623745617E-2</v>
      </c>
      <c r="R43" s="158">
        <f t="shared" si="3"/>
        <v>0.13584053579217359</v>
      </c>
      <c r="S43" s="124">
        <f>SUM(O40:O43)/SUM(C40:C43)</f>
        <v>0.15619188452259086</v>
      </c>
      <c r="U43" s="38"/>
      <c r="V43" s="22"/>
    </row>
    <row r="44" spans="1:22">
      <c r="B44" s="125" t="s">
        <v>54</v>
      </c>
      <c r="C44" s="126">
        <f>VLOOKUP($B44,'County Data'!$B$10:$C$46,2,FALSE)</f>
        <v>419425</v>
      </c>
      <c r="D44" s="145">
        <f>VLOOKUP($B44,Floor!$B$6:$M$45,4,FALSE)</f>
        <v>18000</v>
      </c>
      <c r="E44" s="127">
        <f>VLOOKUP($B44,Population!$B$7:$F$40,4,FALSE)</f>
        <v>0</v>
      </c>
      <c r="F44" s="127">
        <f>VLOOKUP($B44,Burden!$B$6:$H$40,6,FALSE)</f>
        <v>6231.9739979158921</v>
      </c>
      <c r="G44" s="127">
        <f>VLOOKUP($B44,'Health Status'!$B$6:$H$40,6,FALSE)</f>
        <v>6261.514157849092</v>
      </c>
      <c r="H44" s="127">
        <f>VLOOKUP($B44,Ethnicity!$B$6:$H$40,6,FALSE)</f>
        <v>5245.3366568299052</v>
      </c>
      <c r="I44" s="127">
        <f>VLOOKUP($B44,Poverty!$B$6:$H$40,6,FALSE)</f>
        <v>2167.2942125272712</v>
      </c>
      <c r="J44" s="127">
        <f>VLOOKUP($B44,Rurality!$B$6:$H$40,6,FALSE)</f>
        <v>6923.4501961165588</v>
      </c>
      <c r="K44" s="127">
        <f>VLOOKUP($B44,Education!$B$6:$H$40,6,FALSE)</f>
        <v>2471.8396057042905</v>
      </c>
      <c r="L44" s="146">
        <f>VLOOKUP($B44,Language!$B$6:$H$40,6,FALSE)</f>
        <v>5074.2366963333325</v>
      </c>
      <c r="M44" s="182">
        <f>VLOOKUP($B44,Matching!$B$7:$L$40,10,FALSE)</f>
        <v>0</v>
      </c>
      <c r="N44" s="183">
        <f>VLOOKUP($B44,Incentives!$B$7:$Y$40,23,FALSE)</f>
        <v>0</v>
      </c>
      <c r="O44" s="159">
        <f t="shared" si="1"/>
        <v>52375.64552327634</v>
      </c>
      <c r="P44" s="128">
        <f t="shared" si="0"/>
        <v>6.5469556904095449E-2</v>
      </c>
      <c r="Q44" s="128">
        <f t="shared" si="2"/>
        <v>9.9974971992467757E-2</v>
      </c>
      <c r="R44" s="160">
        <f t="shared" si="3"/>
        <v>0.12487487756637382</v>
      </c>
      <c r="S44" s="107"/>
      <c r="U44" s="38"/>
      <c r="V44" s="22"/>
    </row>
    <row r="45" spans="1:22">
      <c r="B45" s="125" t="s">
        <v>82</v>
      </c>
      <c r="C45" s="126">
        <f>VLOOKUP($B45,'County Data'!$B$10:$C$46,2,FALSE)</f>
        <v>606280</v>
      </c>
      <c r="D45" s="145">
        <f>VLOOKUP($B45,Floor!$B$6:$M$45,4,FALSE)</f>
        <v>18000</v>
      </c>
      <c r="E45" s="127">
        <f>VLOOKUP($B45,Population!$B$7:$F$40,4,FALSE)</f>
        <v>0</v>
      </c>
      <c r="F45" s="127">
        <f>VLOOKUP($B45,Burden!$B$6:$H$40,6,FALSE)</f>
        <v>6989.9572004995089</v>
      </c>
      <c r="G45" s="127">
        <f>VLOOKUP($B45,'Health Status'!$B$6:$H$40,6,FALSE)</f>
        <v>8189.032634677772</v>
      </c>
      <c r="H45" s="127">
        <f>VLOOKUP($B45,Ethnicity!$B$6:$H$40,6,FALSE)</f>
        <v>14419.230718515782</v>
      </c>
      <c r="I45" s="127">
        <f>VLOOKUP($B45,Poverty!$B$6:$H$40,6,FALSE)</f>
        <v>3704.3595503968745</v>
      </c>
      <c r="J45" s="127">
        <f>VLOOKUP($B45,Rurality!$B$6:$H$40,6,FALSE)</f>
        <v>3096.3564700619354</v>
      </c>
      <c r="K45" s="127">
        <f>VLOOKUP($B45,Education!$B$6:$H$40,6,FALSE)</f>
        <v>4571.4034867320643</v>
      </c>
      <c r="L45" s="146">
        <f>VLOOKUP($B45,Language!$B$6:$H$40,6,FALSE)</f>
        <v>15892.116951893917</v>
      </c>
      <c r="M45" s="182">
        <f>VLOOKUP($B45,Matching!$B$7:$L$40,10,FALSE)</f>
        <v>0</v>
      </c>
      <c r="N45" s="183">
        <f>VLOOKUP($B45,Incentives!$B$7:$Y$40,23,FALSE)</f>
        <v>0</v>
      </c>
      <c r="O45" s="159">
        <f t="shared" si="1"/>
        <v>74862.457012777857</v>
      </c>
      <c r="P45" s="128">
        <f t="shared" si="0"/>
        <v>9.3578071265972354E-2</v>
      </c>
      <c r="Q45" s="128">
        <f t="shared" si="2"/>
        <v>0.14451409911090982</v>
      </c>
      <c r="R45" s="160">
        <f t="shared" si="3"/>
        <v>0.12347835490660727</v>
      </c>
      <c r="S45" s="107"/>
      <c r="U45" s="38"/>
      <c r="V45" s="22"/>
    </row>
    <row r="46" spans="1:22">
      <c r="B46" s="125" t="s">
        <v>76</v>
      </c>
      <c r="C46" s="126">
        <f>VLOOKUP($B46,'County Data'!$B$10:$C$46,2,FALSE)</f>
        <v>813300</v>
      </c>
      <c r="D46" s="145">
        <f>VLOOKUP($B46,Floor!$B$6:$M$45,4,FALSE)</f>
        <v>18000</v>
      </c>
      <c r="E46" s="127">
        <f>VLOOKUP($B46,Population!$B$7:$F$40,4,FALSE)</f>
        <v>0</v>
      </c>
      <c r="F46" s="127">
        <f>VLOOKUP($B46,Burden!$B$6:$H$40,6,FALSE)</f>
        <v>13548.302148783752</v>
      </c>
      <c r="G46" s="127">
        <f>VLOOKUP($B46,'Health Status'!$B$6:$H$40,6,FALSE)</f>
        <v>13380.53584473632</v>
      </c>
      <c r="H46" s="127">
        <f>VLOOKUP($B46,Ethnicity!$B$6:$H$40,6,FALSE)</f>
        <v>17343.85920422888</v>
      </c>
      <c r="I46" s="127">
        <f>VLOOKUP($B46,Poverty!$B$6:$H$40,6,FALSE)</f>
        <v>7070.5298821111119</v>
      </c>
      <c r="J46" s="127">
        <f>VLOOKUP($B46,Rurality!$B$6:$H$40,6,FALSE)</f>
        <v>964.23703693949267</v>
      </c>
      <c r="K46" s="127">
        <f>VLOOKUP($B46,Education!$B$6:$H$40,6,FALSE)</f>
        <v>6343.8125591666785</v>
      </c>
      <c r="L46" s="146">
        <f>VLOOKUP($B46,Language!$B$6:$H$40,6,FALSE)</f>
        <v>19913.005613460115</v>
      </c>
      <c r="M46" s="182">
        <f>VLOOKUP($B46,Matching!$B$7:$L$40,10,FALSE)</f>
        <v>0</v>
      </c>
      <c r="N46" s="183">
        <f>VLOOKUP($B46,Incentives!$B$7:$Y$40,23,FALSE)</f>
        <v>0</v>
      </c>
      <c r="O46" s="159">
        <f t="shared" si="1"/>
        <v>96564.282289426352</v>
      </c>
      <c r="P46" s="128">
        <f t="shared" si="0"/>
        <v>0.12070535286178298</v>
      </c>
      <c r="Q46" s="128">
        <f t="shared" si="2"/>
        <v>0.19385979548542417</v>
      </c>
      <c r="R46" s="160">
        <f t="shared" si="3"/>
        <v>0.11873144262809093</v>
      </c>
      <c r="S46" s="129">
        <f>SUM(O44:O46)/SUM(C44:C46)</f>
        <v>0.12169754015104937</v>
      </c>
      <c r="U46" s="38"/>
      <c r="V46" s="22"/>
    </row>
    <row r="47" spans="1:22" ht="15" thickBot="1">
      <c r="B47" s="130" t="s">
        <v>2</v>
      </c>
      <c r="C47" s="131">
        <f t="shared" ref="C47:I47" si="4">SUM(C13:C46)</f>
        <v>4195300</v>
      </c>
      <c r="D47" s="147">
        <f t="shared" si="4"/>
        <v>372000</v>
      </c>
      <c r="E47" s="132">
        <f t="shared" si="4"/>
        <v>0</v>
      </c>
      <c r="F47" s="132">
        <f t="shared" si="4"/>
        <v>71333.333333333299</v>
      </c>
      <c r="G47" s="132">
        <f t="shared" si="4"/>
        <v>71333.333333333299</v>
      </c>
      <c r="H47" s="132">
        <f t="shared" si="4"/>
        <v>71333.333333333314</v>
      </c>
      <c r="I47" s="132">
        <f t="shared" si="4"/>
        <v>35666.666666666657</v>
      </c>
      <c r="J47" s="132">
        <f>SUM(J13:J46)</f>
        <v>71333.333333333328</v>
      </c>
      <c r="K47" s="132">
        <f>SUM(K13:K46)</f>
        <v>35666.666666666657</v>
      </c>
      <c r="L47" s="148">
        <f t="shared" ref="L47:Q47" si="5">SUM(L13:L46)</f>
        <v>71333.333333333299</v>
      </c>
      <c r="M47" s="184">
        <f t="shared" si="5"/>
        <v>0</v>
      </c>
      <c r="N47" s="185">
        <f t="shared" si="5"/>
        <v>0</v>
      </c>
      <c r="O47" s="147">
        <f t="shared" si="5"/>
        <v>799999.99999999977</v>
      </c>
      <c r="P47" s="133">
        <f t="shared" si="5"/>
        <v>1</v>
      </c>
      <c r="Q47" s="133">
        <f t="shared" si="5"/>
        <v>1</v>
      </c>
      <c r="R47" s="161">
        <f>O47/C47</f>
        <v>0.19068958119800725</v>
      </c>
      <c r="S47" s="134">
        <f>O47/C47</f>
        <v>0.19068958119800725</v>
      </c>
      <c r="V47" s="22"/>
    </row>
    <row r="48" spans="1:22" ht="15" thickTop="1">
      <c r="O48" s="38"/>
    </row>
    <row r="49" spans="2:17" ht="16">
      <c r="B49" s="40" t="s">
        <v>134</v>
      </c>
      <c r="M49" s="213" t="s">
        <v>43</v>
      </c>
      <c r="N49" s="213"/>
      <c r="O49" s="213"/>
      <c r="P49" s="213"/>
      <c r="Q49" s="213"/>
    </row>
    <row r="50" spans="2:17" ht="16">
      <c r="B50" s="42" t="s">
        <v>50</v>
      </c>
      <c r="C50" s="39"/>
      <c r="D50" s="39"/>
      <c r="E50" s="39"/>
      <c r="F50" s="39"/>
      <c r="G50" s="39"/>
      <c r="M50" s="43" t="s">
        <v>44</v>
      </c>
      <c r="N50" s="44" t="s">
        <v>45</v>
      </c>
      <c r="O50" s="45" t="s">
        <v>46</v>
      </c>
      <c r="P50" s="46" t="s">
        <v>47</v>
      </c>
      <c r="Q50" s="47" t="s">
        <v>48</v>
      </c>
    </row>
    <row r="51" spans="2:17" ht="16">
      <c r="B51" s="42" t="s">
        <v>51</v>
      </c>
      <c r="C51" s="25"/>
      <c r="M51" t="s">
        <v>124</v>
      </c>
      <c r="N51" t="s">
        <v>125</v>
      </c>
      <c r="O51" t="s">
        <v>126</v>
      </c>
      <c r="P51" t="s">
        <v>127</v>
      </c>
      <c r="Q51" t="s">
        <v>128</v>
      </c>
    </row>
    <row r="52" spans="2:17" ht="16">
      <c r="B52" s="42" t="s">
        <v>139</v>
      </c>
      <c r="C52" s="25"/>
      <c r="O52" s="38"/>
    </row>
    <row r="53" spans="2:17" ht="16">
      <c r="B53" s="42" t="s">
        <v>123</v>
      </c>
      <c r="C53" s="25"/>
    </row>
  </sheetData>
  <sortState ref="U13:V46">
    <sortCondition ref="V13:V46"/>
  </sortState>
  <mergeCells count="4">
    <mergeCell ref="M49:Q49"/>
    <mergeCell ref="D11:L11"/>
    <mergeCell ref="M11:N11"/>
    <mergeCell ref="O11:R11"/>
  </mergeCells>
  <pageMargins left="0.7" right="0.7" top="0.75" bottom="0.75" header="0.3" footer="0.3"/>
  <pageSetup paperSize="5" scale="64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52"/>
  <sheetViews>
    <sheetView workbookViewId="0">
      <selection activeCell="D52" sqref="D52"/>
    </sheetView>
  </sheetViews>
  <sheetFormatPr baseColWidth="10" defaultColWidth="8.83203125" defaultRowHeight="14" x14ac:dyDescent="0"/>
  <cols>
    <col min="2" max="2" width="18" customWidth="1"/>
    <col min="3" max="3" width="13" customWidth="1"/>
    <col min="4" max="4" width="12.1640625" bestFit="1" customWidth="1"/>
    <col min="5" max="5" width="12.5" bestFit="1" customWidth="1"/>
    <col min="6" max="6" width="11.1640625" bestFit="1" customWidth="1"/>
    <col min="7" max="7" width="13.5" bestFit="1" customWidth="1"/>
    <col min="8" max="8" width="15.1640625" bestFit="1" customWidth="1"/>
    <col min="9" max="9" width="10.83203125" bestFit="1" customWidth="1"/>
    <col min="10" max="10" width="11.33203125" bestFit="1" customWidth="1"/>
    <col min="11" max="11" width="14.5" bestFit="1" customWidth="1"/>
    <col min="12" max="12" width="14.5" hidden="1" customWidth="1"/>
    <col min="13" max="16" width="10.6640625" hidden="1" customWidth="1"/>
  </cols>
  <sheetData>
    <row r="1" spans="2:17" ht="18">
      <c r="B1" s="24" t="str">
        <f>Input!$B$1</f>
        <v>PHAB Funding and Incentives Subcommittee</v>
      </c>
    </row>
    <row r="2" spans="2:17" ht="15">
      <c r="B2" s="23" t="str">
        <f>Input!$B$2</f>
        <v>Subcommittee Members: Carrie Brogoitti, Bob Dannenhoffer, Jeff Luck, Alejandro Queral, Akiko Saito</v>
      </c>
    </row>
    <row r="3" spans="2:17" ht="15">
      <c r="B3" s="23" t="str">
        <f>Input!$B$3</f>
        <v>July, 2019</v>
      </c>
    </row>
    <row r="4" spans="2:17" ht="15" customHeight="1"/>
    <row r="5" spans="2:17">
      <c r="B5" t="s">
        <v>21</v>
      </c>
      <c r="C5" s="9">
        <f>Input!C5</f>
        <v>800000</v>
      </c>
    </row>
    <row r="6" spans="2:17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7" s="2" customFormat="1" ht="28">
      <c r="B7" s="69" t="s">
        <v>7</v>
      </c>
      <c r="C7" s="70" t="s">
        <v>1</v>
      </c>
      <c r="D7" s="70" t="s">
        <v>20</v>
      </c>
      <c r="E7" s="70" t="s">
        <v>8</v>
      </c>
      <c r="F7" s="70" t="s">
        <v>9</v>
      </c>
      <c r="G7" s="70" t="s">
        <v>18</v>
      </c>
      <c r="H7" s="70" t="s">
        <v>85</v>
      </c>
      <c r="I7" s="70" t="s">
        <v>86</v>
      </c>
      <c r="J7" s="70" t="s">
        <v>40</v>
      </c>
      <c r="K7" s="70" t="s">
        <v>19</v>
      </c>
      <c r="L7" s="70" t="s">
        <v>113</v>
      </c>
      <c r="M7" s="70" t="s">
        <v>97</v>
      </c>
      <c r="N7" s="70" t="s">
        <v>101</v>
      </c>
      <c r="O7" s="70" t="s">
        <v>102</v>
      </c>
      <c r="P7" s="71" t="s">
        <v>103</v>
      </c>
    </row>
    <row r="8" spans="2:17">
      <c r="B8" s="63" t="s">
        <v>10</v>
      </c>
      <c r="C8" s="64">
        <f>Input!C26</f>
        <v>0</v>
      </c>
      <c r="D8" s="64">
        <f>Input!C16</f>
        <v>2.3250000000000002</v>
      </c>
      <c r="E8" s="64">
        <f>Input!C27</f>
        <v>8.9166666666666644E-2</v>
      </c>
      <c r="F8" s="64">
        <f>Input!C28</f>
        <v>8.9166666666666644E-2</v>
      </c>
      <c r="G8" s="64">
        <f>Input!C29</f>
        <v>8.9166666666666644E-2</v>
      </c>
      <c r="H8" s="64">
        <f>Input!C31</f>
        <v>4.4583333333333322E-2</v>
      </c>
      <c r="I8" s="64">
        <f>Input!C30</f>
        <v>8.9166666666666644E-2</v>
      </c>
      <c r="J8" s="64">
        <f>Input!C32</f>
        <v>4.4583333333333322E-2</v>
      </c>
      <c r="K8" s="64">
        <f>Input!C33</f>
        <v>8.9166666666666644E-2</v>
      </c>
      <c r="L8" s="64">
        <f>Input!C36</f>
        <v>0</v>
      </c>
      <c r="M8" s="64">
        <f>Input!C42</f>
        <v>0</v>
      </c>
      <c r="N8" s="64">
        <f>Input!C43</f>
        <v>0</v>
      </c>
      <c r="O8" s="64">
        <f>Input!C44</f>
        <v>0</v>
      </c>
      <c r="P8" s="65">
        <f>Input!C45</f>
        <v>0</v>
      </c>
      <c r="Q8" s="22">
        <f>1-SUM(C8:P8)</f>
        <v>-1.8600000000000008</v>
      </c>
    </row>
    <row r="9" spans="2:17">
      <c r="B9" s="66" t="s">
        <v>11</v>
      </c>
      <c r="C9" s="67">
        <f>$C$5*C$8</f>
        <v>0</v>
      </c>
      <c r="D9" s="67">
        <f t="shared" ref="D9:P9" si="0">$C$5*D$8</f>
        <v>1860000.0000000002</v>
      </c>
      <c r="E9" s="67">
        <f>$C$5*E$8</f>
        <v>71333.333333333314</v>
      </c>
      <c r="F9" s="67">
        <f t="shared" si="0"/>
        <v>71333.333333333314</v>
      </c>
      <c r="G9" s="67">
        <f t="shared" si="0"/>
        <v>71333.333333333314</v>
      </c>
      <c r="H9" s="67">
        <f t="shared" si="0"/>
        <v>35666.666666666657</v>
      </c>
      <c r="I9" s="67">
        <f t="shared" si="0"/>
        <v>71333.333333333314</v>
      </c>
      <c r="J9" s="67">
        <f t="shared" si="0"/>
        <v>35666.666666666657</v>
      </c>
      <c r="K9" s="67">
        <f t="shared" si="0"/>
        <v>71333.333333333314</v>
      </c>
      <c r="L9" s="67">
        <f t="shared" si="0"/>
        <v>0</v>
      </c>
      <c r="M9" s="67">
        <f t="shared" si="0"/>
        <v>0</v>
      </c>
      <c r="N9" s="67">
        <f t="shared" si="0"/>
        <v>0</v>
      </c>
      <c r="O9" s="67">
        <f t="shared" si="0"/>
        <v>0</v>
      </c>
      <c r="P9" s="68">
        <f t="shared" si="0"/>
        <v>0</v>
      </c>
    </row>
    <row r="10" spans="2:17">
      <c r="B10" s="17" t="s">
        <v>52</v>
      </c>
      <c r="C10" s="163">
        <v>16765</v>
      </c>
      <c r="D10" s="57" t="str">
        <f>IF(C10&gt;375000,"Extra Large",IF(C10&gt;150000,"Large",IF(C10&gt;75000,"Medium",IF(C10&gt;20000,"Small","Extra Small"))))</f>
        <v>Extra Small</v>
      </c>
      <c r="E10" s="166">
        <v>8.0970979999999998E-2</v>
      </c>
      <c r="F10" s="166">
        <v>0.13300000000000001</v>
      </c>
      <c r="G10" s="166">
        <v>8.8999999999999968E-2</v>
      </c>
      <c r="H10" s="169">
        <v>0.27100000000000002</v>
      </c>
      <c r="I10" s="35">
        <v>0.41</v>
      </c>
      <c r="J10" s="166">
        <v>9.9000000000000005E-2</v>
      </c>
      <c r="K10" s="166">
        <v>1.2999999999999999E-2</v>
      </c>
      <c r="L10" s="87">
        <v>361764</v>
      </c>
      <c r="M10" s="80" t="s">
        <v>4</v>
      </c>
      <c r="N10" s="80"/>
      <c r="O10" s="80"/>
      <c r="P10" s="81"/>
      <c r="Q10" s="7"/>
    </row>
    <row r="11" spans="2:17">
      <c r="B11" s="18" t="s">
        <v>53</v>
      </c>
      <c r="C11" s="164">
        <v>93590</v>
      </c>
      <c r="D11" s="58" t="str">
        <f t="shared" ref="D11:D46" si="1">IF(C11&gt;375000,"Extra Large",IF(C11&gt;150000,"Large",IF(C11&gt;75000,"Medium",IF(C11&gt;20000,"Small","Extra Small"))))</f>
        <v>Medium</v>
      </c>
      <c r="E11" s="167">
        <v>4.3643250000000001E-2</v>
      </c>
      <c r="F11" s="167">
        <v>0.14199999999999999</v>
      </c>
      <c r="G11" s="167">
        <v>0.18700000000000006</v>
      </c>
      <c r="H11" s="170">
        <v>0.29299999999999998</v>
      </c>
      <c r="I11" s="36">
        <v>0.188</v>
      </c>
      <c r="J11" s="167">
        <v>4.5999999999999999E-2</v>
      </c>
      <c r="K11" s="167">
        <v>4.2000000000000003E-2</v>
      </c>
      <c r="L11" s="88">
        <v>1791995</v>
      </c>
      <c r="M11" s="82" t="s">
        <v>4</v>
      </c>
      <c r="N11" s="82"/>
      <c r="O11" s="82"/>
      <c r="P11" s="83"/>
      <c r="Q11" s="7"/>
    </row>
    <row r="12" spans="2:17">
      <c r="B12" s="18" t="s">
        <v>54</v>
      </c>
      <c r="C12" s="164">
        <v>419425</v>
      </c>
      <c r="D12" s="58" t="str">
        <f t="shared" si="1"/>
        <v>Extra Large</v>
      </c>
      <c r="E12" s="167">
        <v>5.6229189999999998E-2</v>
      </c>
      <c r="F12" s="167">
        <v>0.14699999999999999</v>
      </c>
      <c r="G12" s="167">
        <v>0.17300000000000004</v>
      </c>
      <c r="H12" s="170">
        <v>0.14799999999999999</v>
      </c>
      <c r="I12" s="36">
        <v>0.18099999999999999</v>
      </c>
      <c r="J12" s="167">
        <v>6.8000000000000005E-2</v>
      </c>
      <c r="K12" s="167">
        <v>4.2000000000000003E-2</v>
      </c>
      <c r="L12" s="88">
        <v>5019520</v>
      </c>
      <c r="M12" s="82" t="s">
        <v>4</v>
      </c>
      <c r="N12" s="82"/>
      <c r="O12" s="82"/>
      <c r="P12" s="83"/>
      <c r="Q12" s="7"/>
    </row>
    <row r="13" spans="2:17">
      <c r="B13" s="18" t="s">
        <v>55</v>
      </c>
      <c r="C13" s="164">
        <v>39200</v>
      </c>
      <c r="D13" s="58" t="str">
        <f t="shared" si="1"/>
        <v>Small</v>
      </c>
      <c r="E13" s="167">
        <v>8.4602819999999995E-2</v>
      </c>
      <c r="F13" s="167">
        <v>0.155</v>
      </c>
      <c r="G13" s="167">
        <v>0.14000000000000001</v>
      </c>
      <c r="H13" s="170">
        <v>0.245</v>
      </c>
      <c r="I13" s="36">
        <v>0.39</v>
      </c>
      <c r="J13" s="167">
        <v>8.5000000000000006E-2</v>
      </c>
      <c r="K13" s="167">
        <v>2.7E-2</v>
      </c>
      <c r="L13" s="88">
        <v>446000</v>
      </c>
      <c r="M13" s="82" t="s">
        <v>4</v>
      </c>
      <c r="N13" s="82"/>
      <c r="O13" s="82"/>
      <c r="P13" s="83"/>
      <c r="Q13" s="7"/>
    </row>
    <row r="14" spans="2:17">
      <c r="B14" s="18" t="s">
        <v>56</v>
      </c>
      <c r="C14" s="164">
        <v>51900</v>
      </c>
      <c r="D14" s="58" t="str">
        <f t="shared" si="1"/>
        <v>Small</v>
      </c>
      <c r="E14" s="167">
        <v>7.2065329999999997E-2</v>
      </c>
      <c r="F14" s="167">
        <v>0.193</v>
      </c>
      <c r="G14" s="167">
        <v>0.10899999999999999</v>
      </c>
      <c r="H14" s="170">
        <v>0.221</v>
      </c>
      <c r="I14" s="36">
        <v>0.436</v>
      </c>
      <c r="J14" s="167">
        <v>9.5000000000000001E-2</v>
      </c>
      <c r="K14" s="167">
        <v>1.4E-2</v>
      </c>
      <c r="L14" s="88">
        <v>615328</v>
      </c>
      <c r="M14" s="82" t="s">
        <v>4</v>
      </c>
      <c r="N14" s="82"/>
      <c r="O14" s="82"/>
      <c r="P14" s="83"/>
      <c r="Q14" s="7"/>
    </row>
    <row r="15" spans="2:17">
      <c r="B15" s="18" t="s">
        <v>57</v>
      </c>
      <c r="C15" s="164">
        <v>63275</v>
      </c>
      <c r="D15" s="58" t="str">
        <f t="shared" si="1"/>
        <v>Small</v>
      </c>
      <c r="E15" s="167">
        <v>9.5954879999999992E-2</v>
      </c>
      <c r="F15" s="167">
        <v>0.22</v>
      </c>
      <c r="G15" s="167">
        <v>0.14400000000000002</v>
      </c>
      <c r="H15" s="170">
        <v>0.312</v>
      </c>
      <c r="I15" s="36">
        <v>0.38400000000000001</v>
      </c>
      <c r="J15" s="167">
        <v>0.105</v>
      </c>
      <c r="K15" s="167">
        <v>1.4999999999999999E-2</v>
      </c>
      <c r="L15" s="88">
        <v>332653</v>
      </c>
      <c r="M15" s="82" t="s">
        <v>4</v>
      </c>
      <c r="N15" s="82"/>
      <c r="O15" s="82"/>
      <c r="P15" s="83"/>
      <c r="Q15" s="7"/>
    </row>
    <row r="16" spans="2:17">
      <c r="B16" s="18" t="s">
        <v>58</v>
      </c>
      <c r="C16" s="164">
        <v>22710</v>
      </c>
      <c r="D16" s="58" t="str">
        <f t="shared" si="1"/>
        <v>Small</v>
      </c>
      <c r="E16" s="167">
        <v>7.9248739999999998E-2</v>
      </c>
      <c r="F16" s="167">
        <v>0.23799999999999999</v>
      </c>
      <c r="G16" s="167">
        <v>0.11599999999999999</v>
      </c>
      <c r="H16" s="170">
        <v>0.3</v>
      </c>
      <c r="I16" s="36">
        <v>0.48</v>
      </c>
      <c r="J16" s="167">
        <v>0.121</v>
      </c>
      <c r="K16" s="167">
        <v>1.2E-2</v>
      </c>
      <c r="L16" s="88">
        <v>1584688</v>
      </c>
      <c r="M16" s="82" t="s">
        <v>4</v>
      </c>
      <c r="N16" s="82"/>
      <c r="O16" s="82"/>
      <c r="P16" s="83"/>
      <c r="Q16" s="7"/>
    </row>
    <row r="17" spans="2:17">
      <c r="B17" s="18" t="s">
        <v>59</v>
      </c>
      <c r="C17" s="164">
        <v>22915</v>
      </c>
      <c r="D17" s="58" t="str">
        <f t="shared" si="1"/>
        <v>Small</v>
      </c>
      <c r="E17" s="167">
        <v>0.10897944</v>
      </c>
      <c r="F17" s="167">
        <v>0.23699999999999999</v>
      </c>
      <c r="G17" s="167">
        <v>0.13200000000000001</v>
      </c>
      <c r="H17" s="170">
        <v>0.27500000000000002</v>
      </c>
      <c r="I17" s="36">
        <v>0.38700000000000001</v>
      </c>
      <c r="J17" s="167">
        <v>0.10100000000000001</v>
      </c>
      <c r="K17" s="167">
        <v>1.4E-2</v>
      </c>
      <c r="L17" s="88">
        <v>703878</v>
      </c>
      <c r="M17" s="82" t="s">
        <v>4</v>
      </c>
      <c r="N17" s="82"/>
      <c r="O17" s="82"/>
      <c r="P17" s="83"/>
      <c r="Q17" s="7"/>
    </row>
    <row r="18" spans="2:17">
      <c r="B18" s="18" t="s">
        <v>60</v>
      </c>
      <c r="C18" s="164">
        <v>188980</v>
      </c>
      <c r="D18" s="58" t="str">
        <f t="shared" si="1"/>
        <v>Large</v>
      </c>
      <c r="E18" s="167">
        <v>5.5273819999999994E-2</v>
      </c>
      <c r="F18" s="167">
        <v>0.114</v>
      </c>
      <c r="G18" s="167">
        <v>0.123</v>
      </c>
      <c r="H18" s="170">
        <v>0.20200000000000001</v>
      </c>
      <c r="I18" s="36">
        <v>0.27600000000000002</v>
      </c>
      <c r="J18" s="167">
        <v>6.5000000000000002E-2</v>
      </c>
      <c r="K18" s="167">
        <v>2.1000000000000001E-2</v>
      </c>
      <c r="L18" s="88">
        <v>3814900</v>
      </c>
      <c r="M18" s="82" t="s">
        <v>4</v>
      </c>
      <c r="N18" s="82"/>
      <c r="O18" s="82"/>
      <c r="P18" s="83"/>
      <c r="Q18" s="7"/>
    </row>
    <row r="19" spans="2:17">
      <c r="B19" s="18" t="s">
        <v>61</v>
      </c>
      <c r="C19" s="164">
        <v>111735</v>
      </c>
      <c r="D19" s="58" t="str">
        <f t="shared" si="1"/>
        <v>Medium</v>
      </c>
      <c r="E19" s="167">
        <v>9.7688129999999998E-2</v>
      </c>
      <c r="F19" s="167">
        <v>0.23400000000000001</v>
      </c>
      <c r="G19" s="167">
        <v>0.11599999999999999</v>
      </c>
      <c r="H19" s="170">
        <v>0.27600000000000002</v>
      </c>
      <c r="I19" s="36">
        <v>0.41199999999999998</v>
      </c>
      <c r="J19" s="167">
        <v>0.106</v>
      </c>
      <c r="K19" s="167">
        <v>1.2E-2</v>
      </c>
      <c r="L19" s="88">
        <v>444652</v>
      </c>
      <c r="M19" s="82" t="s">
        <v>4</v>
      </c>
      <c r="N19" s="82"/>
      <c r="O19" s="82"/>
      <c r="P19" s="83"/>
      <c r="Q19" s="7"/>
    </row>
    <row r="20" spans="2:17">
      <c r="B20" s="27" t="s">
        <v>93</v>
      </c>
      <c r="C20" s="164">
        <v>1985</v>
      </c>
      <c r="D20" s="55" t="str">
        <f t="shared" si="1"/>
        <v>Extra Small</v>
      </c>
      <c r="E20" s="56"/>
      <c r="F20" s="56"/>
      <c r="G20" s="167">
        <v>0.14000000000000001</v>
      </c>
      <c r="H20" s="170">
        <v>0.23500000000000001</v>
      </c>
      <c r="I20" s="56"/>
      <c r="J20" s="167">
        <v>0.111</v>
      </c>
      <c r="K20" s="167">
        <v>2.1000000000000001E-2</v>
      </c>
      <c r="L20" s="86"/>
      <c r="M20" s="82"/>
      <c r="N20" s="82"/>
      <c r="O20" s="82"/>
      <c r="P20" s="83"/>
      <c r="Q20" s="7"/>
    </row>
    <row r="21" spans="2:17">
      <c r="B21" s="18" t="s">
        <v>62</v>
      </c>
      <c r="C21" s="164">
        <v>7400</v>
      </c>
      <c r="D21" s="58" t="str">
        <f t="shared" si="1"/>
        <v>Extra Small</v>
      </c>
      <c r="E21" s="167">
        <v>6.5026090000000009E-2</v>
      </c>
      <c r="F21" s="167">
        <v>0.184</v>
      </c>
      <c r="G21" s="167">
        <v>8.1999999999999962E-2</v>
      </c>
      <c r="H21" s="170">
        <v>0.25700000000000001</v>
      </c>
      <c r="I21" s="36">
        <v>1</v>
      </c>
      <c r="J21" s="167">
        <v>0.10199999999999999</v>
      </c>
      <c r="K21" s="167">
        <v>1.0999999999999999E-2</v>
      </c>
      <c r="L21" s="88">
        <v>0</v>
      </c>
      <c r="M21" s="82" t="s">
        <v>4</v>
      </c>
      <c r="N21" s="82"/>
      <c r="O21" s="82"/>
      <c r="P21" s="83"/>
      <c r="Q21" s="7"/>
    </row>
    <row r="22" spans="2:17">
      <c r="B22" s="18" t="s">
        <v>63</v>
      </c>
      <c r="C22" s="164">
        <v>7380</v>
      </c>
      <c r="D22" s="58" t="str">
        <f t="shared" si="1"/>
        <v>Extra Small</v>
      </c>
      <c r="E22" s="167">
        <v>0.10640441999999999</v>
      </c>
      <c r="F22" s="167">
        <v>0.26600000000000001</v>
      </c>
      <c r="G22" s="167">
        <v>0.13200000000000001</v>
      </c>
      <c r="H22" s="170">
        <v>0.30599999999999999</v>
      </c>
      <c r="I22" s="36">
        <v>0.443</v>
      </c>
      <c r="J22" s="167">
        <v>0.10299999999999999</v>
      </c>
      <c r="K22" s="167">
        <v>0.02</v>
      </c>
      <c r="L22" s="88">
        <v>172270</v>
      </c>
      <c r="M22" s="82" t="s">
        <v>4</v>
      </c>
      <c r="N22" s="82"/>
      <c r="O22" s="82"/>
      <c r="P22" s="83"/>
      <c r="Q22" s="7"/>
    </row>
    <row r="23" spans="2:17">
      <c r="B23" s="18" t="s">
        <v>64</v>
      </c>
      <c r="C23" s="164">
        <v>25310</v>
      </c>
      <c r="D23" s="58" t="str">
        <f t="shared" si="1"/>
        <v>Small</v>
      </c>
      <c r="E23" s="167">
        <v>5.0952200000000003E-2</v>
      </c>
      <c r="F23" s="167">
        <v>0.19800000000000001</v>
      </c>
      <c r="G23" s="167">
        <v>0.35799999999999998</v>
      </c>
      <c r="H23" s="170">
        <v>0.24</v>
      </c>
      <c r="I23" s="36">
        <v>0.52200000000000002</v>
      </c>
      <c r="J23" s="167">
        <v>0.20399999999999999</v>
      </c>
      <c r="K23" s="167">
        <v>0.158</v>
      </c>
      <c r="L23" s="88">
        <v>729676</v>
      </c>
      <c r="M23" s="82" t="s">
        <v>4</v>
      </c>
      <c r="N23" s="82"/>
      <c r="O23" s="82"/>
      <c r="P23" s="83"/>
      <c r="Q23" s="7"/>
    </row>
    <row r="24" spans="2:17">
      <c r="B24" s="18" t="s">
        <v>65</v>
      </c>
      <c r="C24" s="164">
        <v>219200</v>
      </c>
      <c r="D24" s="58" t="str">
        <f t="shared" si="1"/>
        <v>Large</v>
      </c>
      <c r="E24" s="167">
        <v>7.4869329999999998E-2</v>
      </c>
      <c r="F24" s="167">
        <v>0.184</v>
      </c>
      <c r="G24" s="167">
        <v>0.18300000000000005</v>
      </c>
      <c r="H24" s="170">
        <v>0.27500000000000002</v>
      </c>
      <c r="I24" s="36">
        <v>0.20100000000000001</v>
      </c>
      <c r="J24" s="167">
        <v>0.107</v>
      </c>
      <c r="K24" s="167">
        <v>3.3000000000000002E-2</v>
      </c>
      <c r="L24" s="88">
        <v>2298330</v>
      </c>
      <c r="M24" s="82" t="s">
        <v>4</v>
      </c>
      <c r="N24" s="82"/>
      <c r="O24" s="82"/>
      <c r="P24" s="83"/>
      <c r="Q24" s="7"/>
    </row>
    <row r="25" spans="2:17">
      <c r="B25" s="18" t="s">
        <v>66</v>
      </c>
      <c r="C25" s="164">
        <v>23560</v>
      </c>
      <c r="D25" s="58" t="str">
        <f t="shared" si="1"/>
        <v>Small</v>
      </c>
      <c r="E25" s="167">
        <v>9.1418539999999993E-2</v>
      </c>
      <c r="F25" s="167">
        <v>0.189</v>
      </c>
      <c r="G25" s="167">
        <v>0.39800000000000002</v>
      </c>
      <c r="H25" s="170">
        <v>0.32400000000000001</v>
      </c>
      <c r="I25" s="36">
        <v>0.63100000000000001</v>
      </c>
      <c r="J25" s="167">
        <v>0.14299999999999999</v>
      </c>
      <c r="K25" s="167">
        <v>5.0999999999999997E-2</v>
      </c>
      <c r="L25" s="88">
        <v>261557</v>
      </c>
      <c r="M25" s="82" t="s">
        <v>4</v>
      </c>
      <c r="N25" s="82"/>
      <c r="O25" s="82"/>
      <c r="P25" s="83"/>
      <c r="Q25" s="7"/>
    </row>
    <row r="26" spans="2:17">
      <c r="B26" s="18" t="s">
        <v>67</v>
      </c>
      <c r="C26" s="164">
        <v>86395</v>
      </c>
      <c r="D26" s="58" t="str">
        <f t="shared" si="1"/>
        <v>Medium</v>
      </c>
      <c r="E26" s="167">
        <v>9.7062319999999994E-2</v>
      </c>
      <c r="F26" s="167">
        <v>0.191</v>
      </c>
      <c r="G26" s="167">
        <v>0.126</v>
      </c>
      <c r="H26" s="170">
        <v>0.34499999999999997</v>
      </c>
      <c r="I26" s="36">
        <v>0.45</v>
      </c>
      <c r="J26" s="167">
        <v>0.109</v>
      </c>
      <c r="K26" s="167">
        <v>1.2999999999999999E-2</v>
      </c>
      <c r="L26" s="88">
        <v>657998</v>
      </c>
      <c r="M26" s="82" t="s">
        <v>4</v>
      </c>
      <c r="N26" s="82"/>
      <c r="O26" s="82"/>
      <c r="P26" s="83"/>
      <c r="Q26" s="7"/>
    </row>
    <row r="27" spans="2:17">
      <c r="B27" s="18" t="s">
        <v>68</v>
      </c>
      <c r="C27" s="164">
        <v>67960</v>
      </c>
      <c r="D27" s="58" t="str">
        <f t="shared" si="1"/>
        <v>Small</v>
      </c>
      <c r="E27" s="167">
        <v>9.2599109999999998E-2</v>
      </c>
      <c r="F27" s="167">
        <v>0.215</v>
      </c>
      <c r="G27" s="167">
        <v>0.21299999999999997</v>
      </c>
      <c r="H27" s="170">
        <v>0.32799999999999996</v>
      </c>
      <c r="I27" s="36">
        <v>0.376</v>
      </c>
      <c r="J27" s="167">
        <v>0.126</v>
      </c>
      <c r="K27" s="167">
        <v>3.2000000000000001E-2</v>
      </c>
      <c r="L27" s="88">
        <v>542426</v>
      </c>
      <c r="M27" s="82" t="s">
        <v>4</v>
      </c>
      <c r="N27" s="82"/>
      <c r="O27" s="82"/>
      <c r="P27" s="83"/>
      <c r="Q27" s="7"/>
    </row>
    <row r="28" spans="2:17">
      <c r="B28" s="18" t="s">
        <v>69</v>
      </c>
      <c r="C28" s="164">
        <v>8115</v>
      </c>
      <c r="D28" s="58" t="str">
        <f t="shared" si="1"/>
        <v>Extra Small</v>
      </c>
      <c r="E28" s="167">
        <v>8.4349279999999999E-2</v>
      </c>
      <c r="F28" s="167">
        <v>0.13300000000000001</v>
      </c>
      <c r="G28" s="167">
        <v>0.14800000000000002</v>
      </c>
      <c r="H28" s="170">
        <v>0.36099999999999999</v>
      </c>
      <c r="I28" s="36">
        <v>0.63300000000000001</v>
      </c>
      <c r="J28" s="167">
        <v>0.153</v>
      </c>
      <c r="K28" s="167">
        <v>1.7999999999999999E-2</v>
      </c>
      <c r="L28" s="88">
        <v>187877</v>
      </c>
      <c r="M28" s="82" t="s">
        <v>4</v>
      </c>
      <c r="N28" s="82"/>
      <c r="O28" s="82"/>
      <c r="P28" s="83"/>
      <c r="Q28" s="7"/>
    </row>
    <row r="29" spans="2:17">
      <c r="B29" s="18" t="s">
        <v>70</v>
      </c>
      <c r="C29" s="164">
        <v>375120</v>
      </c>
      <c r="D29" s="58" t="str">
        <f t="shared" si="1"/>
        <v>Extra Large</v>
      </c>
      <c r="E29" s="167">
        <v>6.7933170000000001E-2</v>
      </c>
      <c r="F29" s="167">
        <v>0.161</v>
      </c>
      <c r="G29" s="167">
        <v>0.17400000000000004</v>
      </c>
      <c r="H29" s="170">
        <v>0.29099999999999998</v>
      </c>
      <c r="I29" s="36">
        <v>0.17499999999999999</v>
      </c>
      <c r="J29" s="167">
        <v>8.5000000000000006E-2</v>
      </c>
      <c r="K29" s="167">
        <v>2.5999999999999999E-2</v>
      </c>
      <c r="L29" s="88">
        <v>4024080</v>
      </c>
      <c r="M29" s="82" t="s">
        <v>4</v>
      </c>
      <c r="N29" s="82"/>
      <c r="O29" s="82"/>
      <c r="P29" s="83"/>
      <c r="Q29" s="7"/>
    </row>
    <row r="30" spans="2:17">
      <c r="B30" s="18" t="s">
        <v>71</v>
      </c>
      <c r="C30" s="164">
        <v>48210</v>
      </c>
      <c r="D30" s="58" t="str">
        <f t="shared" si="1"/>
        <v>Small</v>
      </c>
      <c r="E30" s="167">
        <v>9.8367700000000002E-2</v>
      </c>
      <c r="F30" s="167">
        <v>0.20599999999999999</v>
      </c>
      <c r="G30" s="167">
        <v>0.17100000000000004</v>
      </c>
      <c r="H30" s="170">
        <v>0.30299999999999999</v>
      </c>
      <c r="I30" s="36">
        <v>0.376</v>
      </c>
      <c r="J30" s="167">
        <v>0.106</v>
      </c>
      <c r="K30" s="167">
        <v>2.5000000000000001E-2</v>
      </c>
      <c r="L30" s="88">
        <v>1458472</v>
      </c>
      <c r="M30" s="82" t="s">
        <v>4</v>
      </c>
      <c r="N30" s="82"/>
      <c r="O30" s="82"/>
      <c r="P30" s="83"/>
      <c r="Q30" s="7"/>
    </row>
    <row r="31" spans="2:17">
      <c r="B31" s="18" t="s">
        <v>72</v>
      </c>
      <c r="C31" s="164">
        <v>125575</v>
      </c>
      <c r="D31" s="58" t="str">
        <f t="shared" si="1"/>
        <v>Medium</v>
      </c>
      <c r="E31" s="167">
        <v>7.2411760000000006E-2</v>
      </c>
      <c r="F31" s="167">
        <v>0.189</v>
      </c>
      <c r="G31" s="167">
        <v>0.14300000000000002</v>
      </c>
      <c r="H31" s="170">
        <v>0.27300000000000002</v>
      </c>
      <c r="I31" s="36">
        <v>0.316</v>
      </c>
      <c r="J31" s="167">
        <v>9.8000000000000004E-2</v>
      </c>
      <c r="K31" s="167">
        <v>2.1000000000000001E-2</v>
      </c>
      <c r="L31" s="88">
        <v>1327242</v>
      </c>
      <c r="M31" s="82" t="s">
        <v>4</v>
      </c>
      <c r="N31" s="82"/>
      <c r="O31" s="82"/>
      <c r="P31" s="83"/>
      <c r="Q31" s="7"/>
    </row>
    <row r="32" spans="2:17">
      <c r="B32" s="18" t="s">
        <v>73</v>
      </c>
      <c r="C32" s="164">
        <v>31925</v>
      </c>
      <c r="D32" s="58" t="str">
        <f t="shared" si="1"/>
        <v>Small</v>
      </c>
      <c r="E32" s="167">
        <v>7.2585949999999996E-2</v>
      </c>
      <c r="F32" s="167">
        <v>0.28699999999999998</v>
      </c>
      <c r="G32" s="167">
        <v>0.38300000000000001</v>
      </c>
      <c r="H32" s="170">
        <v>0.38200000000000001</v>
      </c>
      <c r="I32" s="36">
        <v>0.48399999999999999</v>
      </c>
      <c r="J32" s="167">
        <v>0.189</v>
      </c>
      <c r="K32" s="167">
        <v>8.4000000000000005E-2</v>
      </c>
      <c r="L32" s="88">
        <v>474185</v>
      </c>
      <c r="M32" s="82" t="s">
        <v>4</v>
      </c>
      <c r="N32" s="82"/>
      <c r="O32" s="82"/>
      <c r="P32" s="83"/>
      <c r="Q32" s="7"/>
    </row>
    <row r="33" spans="2:17">
      <c r="B33" s="18" t="s">
        <v>74</v>
      </c>
      <c r="C33" s="164">
        <v>344035</v>
      </c>
      <c r="D33" s="58" t="str">
        <f t="shared" si="1"/>
        <v>Large</v>
      </c>
      <c r="E33" s="167">
        <v>6.2774990000000003E-2</v>
      </c>
      <c r="F33" s="167">
        <v>0.19600000000000001</v>
      </c>
      <c r="G33" s="167">
        <v>0.33699999999999997</v>
      </c>
      <c r="H33" s="170">
        <v>0.28100000000000003</v>
      </c>
      <c r="I33" s="36">
        <v>0.13100000000000001</v>
      </c>
      <c r="J33" s="167">
        <v>0.151</v>
      </c>
      <c r="K33" s="167">
        <v>0.108</v>
      </c>
      <c r="L33" s="88">
        <v>4647307</v>
      </c>
      <c r="M33" s="82" t="s">
        <v>4</v>
      </c>
      <c r="N33" s="82"/>
      <c r="O33" s="82"/>
      <c r="P33" s="83"/>
      <c r="Q33" s="7"/>
    </row>
    <row r="34" spans="2:17">
      <c r="B34" s="18" t="s">
        <v>75</v>
      </c>
      <c r="C34" s="164">
        <v>11885</v>
      </c>
      <c r="D34" s="58" t="str">
        <f t="shared" si="1"/>
        <v>Extra Small</v>
      </c>
      <c r="E34" s="167">
        <v>6.4928429999999995E-2</v>
      </c>
      <c r="F34" s="167">
        <v>0.249</v>
      </c>
      <c r="G34" s="167">
        <v>0.39300000000000002</v>
      </c>
      <c r="H34" s="170">
        <v>0.27500000000000002</v>
      </c>
      <c r="I34" s="36">
        <v>0.45900000000000002</v>
      </c>
      <c r="J34" s="167">
        <v>0.247</v>
      </c>
      <c r="K34" s="167">
        <v>0.158</v>
      </c>
      <c r="L34" s="88">
        <v>712823</v>
      </c>
      <c r="M34" s="82" t="s">
        <v>4</v>
      </c>
      <c r="N34" s="82"/>
      <c r="O34" s="82"/>
      <c r="P34" s="83"/>
      <c r="Q34" s="7"/>
    </row>
    <row r="35" spans="2:17">
      <c r="B35" s="18" t="s">
        <v>76</v>
      </c>
      <c r="C35" s="164">
        <v>813300</v>
      </c>
      <c r="D35" s="58" t="str">
        <f t="shared" si="1"/>
        <v>Extra Large</v>
      </c>
      <c r="E35" s="167">
        <v>6.3041220000000009E-2</v>
      </c>
      <c r="F35" s="167">
        <v>0.16200000000000001</v>
      </c>
      <c r="G35" s="167">
        <v>0.29500000000000004</v>
      </c>
      <c r="H35" s="170">
        <v>0.249</v>
      </c>
      <c r="I35" s="36">
        <v>1.2999999999999999E-2</v>
      </c>
      <c r="J35" s="167">
        <v>0.09</v>
      </c>
      <c r="K35" s="167">
        <v>8.5000000000000006E-2</v>
      </c>
      <c r="L35" s="88">
        <v>25329190</v>
      </c>
      <c r="M35" s="82" t="s">
        <v>4</v>
      </c>
      <c r="N35" s="82"/>
      <c r="O35" s="82"/>
      <c r="P35" s="83"/>
      <c r="Q35" s="7"/>
    </row>
    <row r="36" spans="2:17">
      <c r="B36" s="50" t="s">
        <v>87</v>
      </c>
      <c r="C36" s="55">
        <f>C20+C38+C43</f>
        <v>30970</v>
      </c>
      <c r="D36" s="55" t="str">
        <f t="shared" si="1"/>
        <v>Small</v>
      </c>
      <c r="E36" s="56">
        <v>8.2111370000000003E-2</v>
      </c>
      <c r="F36" s="56">
        <v>0.157</v>
      </c>
      <c r="G36" s="56">
        <v>0.23002189381499727</v>
      </c>
      <c r="H36" s="188">
        <v>0.24265191832759397</v>
      </c>
      <c r="I36" s="36">
        <v>0.41499999999999998</v>
      </c>
      <c r="J36" s="56">
        <v>0.13184031158714704</v>
      </c>
      <c r="K36" s="56">
        <v>5.6991795806745668E-2</v>
      </c>
      <c r="L36" s="88">
        <v>772441</v>
      </c>
      <c r="M36" s="82" t="s">
        <v>4</v>
      </c>
      <c r="N36" s="82"/>
      <c r="O36" s="82"/>
      <c r="P36" s="83"/>
      <c r="Q36" s="7"/>
    </row>
    <row r="37" spans="2:17">
      <c r="B37" s="18" t="s">
        <v>77</v>
      </c>
      <c r="C37" s="164">
        <v>82100</v>
      </c>
      <c r="D37" s="58" t="str">
        <f t="shared" si="1"/>
        <v>Medium</v>
      </c>
      <c r="E37" s="167">
        <v>5.8934719999999996E-2</v>
      </c>
      <c r="F37" s="167">
        <v>0.14499999999999999</v>
      </c>
      <c r="G37" s="167">
        <v>0.21099999999999997</v>
      </c>
      <c r="H37" s="170">
        <v>0.24</v>
      </c>
      <c r="I37" s="36">
        <v>0.19900000000000001</v>
      </c>
      <c r="J37" s="167">
        <v>9.2999999999999999E-2</v>
      </c>
      <c r="K37" s="167">
        <v>5.0999999999999997E-2</v>
      </c>
      <c r="L37" s="88">
        <v>291010</v>
      </c>
      <c r="M37" s="82" t="s">
        <v>4</v>
      </c>
      <c r="N37" s="82"/>
      <c r="O37" s="82"/>
      <c r="P37" s="83"/>
      <c r="Q37" s="7"/>
    </row>
    <row r="38" spans="2:17">
      <c r="B38" s="27" t="s">
        <v>94</v>
      </c>
      <c r="C38" s="164">
        <v>1785</v>
      </c>
      <c r="D38" s="55" t="str">
        <f t="shared" si="1"/>
        <v>Extra Small</v>
      </c>
      <c r="E38" s="56"/>
      <c r="F38" s="56"/>
      <c r="G38" s="167">
        <v>8.2999999999999963E-2</v>
      </c>
      <c r="H38" s="170">
        <v>0.21700000000000003</v>
      </c>
      <c r="I38" s="56"/>
      <c r="J38" s="167">
        <v>7.0999999999999994E-2</v>
      </c>
      <c r="K38" s="167">
        <v>8.0000000000000002E-3</v>
      </c>
      <c r="L38" s="88"/>
      <c r="M38" s="82"/>
      <c r="N38" s="82"/>
      <c r="O38" s="82"/>
      <c r="P38" s="83"/>
      <c r="Q38" s="7"/>
    </row>
    <row r="39" spans="2:17">
      <c r="B39" s="18" t="s">
        <v>78</v>
      </c>
      <c r="C39" s="164">
        <v>26395</v>
      </c>
      <c r="D39" s="58" t="str">
        <f t="shared" si="1"/>
        <v>Small</v>
      </c>
      <c r="E39" s="167">
        <v>8.0733680000000002E-2</v>
      </c>
      <c r="F39" s="167">
        <v>0.19400000000000001</v>
      </c>
      <c r="G39" s="167">
        <v>0.15300000000000002</v>
      </c>
      <c r="H39" s="170">
        <v>0.25800000000000001</v>
      </c>
      <c r="I39" s="36">
        <v>0.69599999999999995</v>
      </c>
      <c r="J39" s="167">
        <v>0.10100000000000001</v>
      </c>
      <c r="K39" s="167">
        <v>2.9000000000000001E-2</v>
      </c>
      <c r="L39" s="88">
        <v>119798</v>
      </c>
      <c r="M39" s="82" t="s">
        <v>4</v>
      </c>
      <c r="N39" s="82"/>
      <c r="O39" s="82"/>
      <c r="P39" s="83"/>
      <c r="Q39" s="7"/>
    </row>
    <row r="40" spans="2:17">
      <c r="B40" s="18" t="s">
        <v>79</v>
      </c>
      <c r="C40" s="164">
        <v>80765</v>
      </c>
      <c r="D40" s="58" t="str">
        <f t="shared" si="1"/>
        <v>Medium</v>
      </c>
      <c r="E40" s="167">
        <v>6.7694759999999993E-2</v>
      </c>
      <c r="F40" s="167">
        <v>0.22</v>
      </c>
      <c r="G40" s="167">
        <v>0.32999999999999996</v>
      </c>
      <c r="H40" s="170">
        <v>0.29699999999999999</v>
      </c>
      <c r="I40" s="36">
        <v>0.29099999999999998</v>
      </c>
      <c r="J40" s="167">
        <v>0.18</v>
      </c>
      <c r="K40" s="167">
        <v>0.105</v>
      </c>
      <c r="L40" s="88">
        <v>532317</v>
      </c>
      <c r="M40" s="82" t="s">
        <v>4</v>
      </c>
      <c r="N40" s="82"/>
      <c r="O40" s="82"/>
      <c r="P40" s="83"/>
      <c r="Q40" s="7"/>
    </row>
    <row r="41" spans="2:17">
      <c r="B41" s="18" t="s">
        <v>80</v>
      </c>
      <c r="C41" s="164">
        <v>26885</v>
      </c>
      <c r="D41" s="58" t="str">
        <f t="shared" si="1"/>
        <v>Small</v>
      </c>
      <c r="E41" s="167">
        <v>7.2840740000000001E-2</v>
      </c>
      <c r="F41" s="167">
        <v>0.14399999999999999</v>
      </c>
      <c r="G41" s="167">
        <v>0.10699999999999998</v>
      </c>
      <c r="H41" s="170">
        <v>0.32099999999999995</v>
      </c>
      <c r="I41" s="36">
        <v>0.42099999999999999</v>
      </c>
      <c r="J41" s="167">
        <v>7.2999999999999995E-2</v>
      </c>
      <c r="K41" s="167">
        <v>1.7000000000000001E-2</v>
      </c>
      <c r="L41" s="88">
        <v>153290</v>
      </c>
      <c r="M41" s="82" t="s">
        <v>4</v>
      </c>
      <c r="N41" s="82"/>
      <c r="O41" s="82"/>
      <c r="P41" s="83"/>
      <c r="Q41" s="7"/>
    </row>
    <row r="42" spans="2:17">
      <c r="B42" s="18" t="s">
        <v>81</v>
      </c>
      <c r="C42" s="164">
        <v>7175</v>
      </c>
      <c r="D42" s="58" t="str">
        <f t="shared" si="1"/>
        <v>Extra Small</v>
      </c>
      <c r="E42" s="167">
        <v>7.6918E-2</v>
      </c>
      <c r="F42" s="167">
        <v>0.123</v>
      </c>
      <c r="G42" s="167">
        <v>6.5999999999999948E-2</v>
      </c>
      <c r="H42" s="170">
        <v>0.24099999999999999</v>
      </c>
      <c r="I42" s="36">
        <v>1</v>
      </c>
      <c r="J42" s="167">
        <v>7.0999999999999994E-2</v>
      </c>
      <c r="K42" s="167">
        <v>8.9999999999999993E-3</v>
      </c>
      <c r="L42" s="88">
        <v>0</v>
      </c>
      <c r="M42" s="82" t="s">
        <v>4</v>
      </c>
      <c r="N42" s="82"/>
      <c r="O42" s="82"/>
      <c r="P42" s="83"/>
      <c r="Q42" s="7"/>
    </row>
    <row r="43" spans="2:17">
      <c r="B43" s="27" t="s">
        <v>95</v>
      </c>
      <c r="C43" s="164">
        <v>27200</v>
      </c>
      <c r="D43" s="55" t="str">
        <f t="shared" si="1"/>
        <v>Small</v>
      </c>
      <c r="E43" s="56"/>
      <c r="F43" s="56"/>
      <c r="G43" s="167">
        <v>0.246</v>
      </c>
      <c r="H43" s="170">
        <v>0.245</v>
      </c>
      <c r="I43" s="56"/>
      <c r="J43" s="167">
        <v>0.13800000000000001</v>
      </c>
      <c r="K43" s="167">
        <v>6.3E-2</v>
      </c>
      <c r="L43" s="88"/>
      <c r="M43" s="82"/>
      <c r="N43" s="82"/>
      <c r="O43" s="82"/>
      <c r="P43" s="83"/>
      <c r="Q43" s="7"/>
    </row>
    <row r="44" spans="2:17">
      <c r="B44" s="18" t="s">
        <v>82</v>
      </c>
      <c r="C44" s="164">
        <v>606280</v>
      </c>
      <c r="D44" s="58" t="str">
        <f t="shared" si="1"/>
        <v>Extra Large</v>
      </c>
      <c r="E44" s="167">
        <v>4.3630659999999995E-2</v>
      </c>
      <c r="F44" s="167">
        <v>0.13300000000000001</v>
      </c>
      <c r="G44" s="167">
        <v>0.32899999999999996</v>
      </c>
      <c r="H44" s="170">
        <v>0.17499999999999999</v>
      </c>
      <c r="I44" s="36">
        <v>5.6000000000000001E-2</v>
      </c>
      <c r="J44" s="167">
        <v>8.6999999999999994E-2</v>
      </c>
      <c r="K44" s="167">
        <v>9.0999999999999998E-2</v>
      </c>
      <c r="L44" s="88">
        <v>8674852</v>
      </c>
      <c r="M44" s="82" t="s">
        <v>4</v>
      </c>
      <c r="N44" s="82"/>
      <c r="O44" s="82"/>
      <c r="P44" s="83"/>
      <c r="Q44" s="7"/>
    </row>
    <row r="45" spans="2:17">
      <c r="B45" s="18" t="s">
        <v>83</v>
      </c>
      <c r="C45" s="164">
        <v>1450</v>
      </c>
      <c r="D45" s="58" t="str">
        <f t="shared" si="1"/>
        <v>Extra Small</v>
      </c>
      <c r="E45" s="167">
        <v>6.3521800000000003E-2</v>
      </c>
      <c r="F45" s="167">
        <v>0.307</v>
      </c>
      <c r="G45" s="167">
        <v>0.10999999999999999</v>
      </c>
      <c r="H45" s="170">
        <v>0.33299999999999996</v>
      </c>
      <c r="I45" s="36">
        <v>1</v>
      </c>
      <c r="J45" s="167">
        <v>7.0999999999999994E-2</v>
      </c>
      <c r="K45" s="167">
        <v>1E-3</v>
      </c>
      <c r="L45" s="88">
        <v>6791</v>
      </c>
      <c r="M45" s="82" t="s">
        <v>4</v>
      </c>
      <c r="N45" s="82"/>
      <c r="O45" s="82"/>
      <c r="P45" s="83"/>
      <c r="Q45" s="7"/>
    </row>
    <row r="46" spans="2:17">
      <c r="B46" s="19" t="s">
        <v>84</v>
      </c>
      <c r="C46" s="165">
        <v>107415</v>
      </c>
      <c r="D46" s="59" t="str">
        <f t="shared" si="1"/>
        <v>Medium</v>
      </c>
      <c r="E46" s="168">
        <v>5.9052179999999996E-2</v>
      </c>
      <c r="F46" s="168">
        <v>0.191</v>
      </c>
      <c r="G46" s="168">
        <v>0.22399999999999998</v>
      </c>
      <c r="H46" s="171">
        <v>0.22100000000000003</v>
      </c>
      <c r="I46" s="37">
        <v>0.22600000000000001</v>
      </c>
      <c r="J46" s="168">
        <v>0.11700000000000001</v>
      </c>
      <c r="K46" s="168">
        <v>5.3999999999999999E-2</v>
      </c>
      <c r="L46" s="89">
        <v>1553242</v>
      </c>
      <c r="M46" s="84" t="s">
        <v>4</v>
      </c>
      <c r="N46" s="84"/>
      <c r="O46" s="84"/>
      <c r="P46" s="85"/>
      <c r="Q46" s="7"/>
    </row>
    <row r="47" spans="2:17" ht="15" thickBot="1">
      <c r="C47" s="16">
        <f>SUM(C10:C46)-C36</f>
        <v>4195300</v>
      </c>
      <c r="D47" s="53"/>
    </row>
    <row r="48" spans="2:17" ht="15" thickTop="1"/>
    <row r="49" spans="11:11">
      <c r="K49" s="38"/>
    </row>
    <row r="50" spans="11:11">
      <c r="K50" s="38"/>
    </row>
    <row r="51" spans="11:11">
      <c r="K51" s="38"/>
    </row>
    <row r="52" spans="11:11">
      <c r="K52" s="38"/>
    </row>
  </sheetData>
  <pageMargins left="0.7" right="0.7" top="0.75" bottom="0.75" header="0.3" footer="0.3"/>
  <pageSetup scale="6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1"/>
  <sheetViews>
    <sheetView workbookViewId="0">
      <selection activeCell="C7" sqref="C7"/>
    </sheetView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7.1640625" customWidth="1"/>
    <col min="5" max="5" width="14.1640625" customWidth="1"/>
    <col min="6" max="6" width="10" bestFit="1" customWidth="1"/>
    <col min="7" max="7" width="13.5" bestFit="1" customWidth="1"/>
  </cols>
  <sheetData>
    <row r="3" spans="2:6">
      <c r="B3" t="s">
        <v>0</v>
      </c>
      <c r="C3" s="1">
        <f>'County Data'!C5</f>
        <v>800000</v>
      </c>
    </row>
    <row r="4" spans="2:6">
      <c r="B4" t="s">
        <v>41</v>
      </c>
      <c r="C4" s="14">
        <f>'County Data'!C9</f>
        <v>0</v>
      </c>
    </row>
    <row r="6" spans="2:6" s="2" customFormat="1" ht="28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>
      <c r="B7" s="20" t="str">
        <f>+'County Data'!$B$10</f>
        <v>Baker</v>
      </c>
      <c r="C7" s="15">
        <f>VLOOKUP($B7,'County Data'!$B$10:$P$46,2,FALSE)</f>
        <v>16765</v>
      </c>
      <c r="D7" s="6">
        <f t="shared" ref="D7:D40" si="0">C7/$C$41</f>
        <v>3.9961385359807405E-3</v>
      </c>
      <c r="E7" s="14">
        <f t="shared" ref="E7:E40" si="1">$C$4*D7</f>
        <v>0</v>
      </c>
      <c r="F7" s="10">
        <f t="shared" ref="F7:F40" si="2">E7/C7</f>
        <v>0</v>
      </c>
    </row>
    <row r="8" spans="2:6">
      <c r="B8" s="20" t="str">
        <f>+'County Data'!$B$19</f>
        <v>Douglas</v>
      </c>
      <c r="C8" s="15">
        <f>VLOOKUP($B8,'County Data'!$B$10:$P$46,2,FALSE)</f>
        <v>111735</v>
      </c>
      <c r="D8" s="6">
        <f t="shared" si="0"/>
        <v>2.663337544394918E-2</v>
      </c>
      <c r="E8" s="14">
        <f t="shared" si="1"/>
        <v>0</v>
      </c>
      <c r="F8" s="10">
        <f t="shared" si="2"/>
        <v>0</v>
      </c>
    </row>
    <row r="9" spans="2:6">
      <c r="B9" s="20" t="str">
        <f>+'County Data'!$B$23</f>
        <v>Hood River</v>
      </c>
      <c r="C9" s="15">
        <f>VLOOKUP($B9,'County Data'!$B$10:$P$46,2,FALSE)</f>
        <v>25310</v>
      </c>
      <c r="D9" s="6">
        <f t="shared" si="0"/>
        <v>6.0329416251519554E-3</v>
      </c>
      <c r="E9" s="14">
        <f t="shared" si="1"/>
        <v>0</v>
      </c>
      <c r="F9" s="10">
        <f t="shared" si="2"/>
        <v>0</v>
      </c>
    </row>
    <row r="10" spans="2:6">
      <c r="B10" s="20" t="str">
        <f>+'County Data'!$B$24</f>
        <v>Jackson</v>
      </c>
      <c r="C10" s="15">
        <f>VLOOKUP($B10,'County Data'!$B$10:$P$46,2,FALSE)</f>
        <v>219200</v>
      </c>
      <c r="D10" s="6">
        <f t="shared" si="0"/>
        <v>5.2248945248253999E-2</v>
      </c>
      <c r="E10" s="14">
        <f t="shared" si="1"/>
        <v>0</v>
      </c>
      <c r="F10" s="10">
        <f t="shared" si="2"/>
        <v>0</v>
      </c>
    </row>
    <row r="11" spans="2:6">
      <c r="B11" s="20" t="str">
        <f>+'County Data'!$B$25</f>
        <v>Jefferson</v>
      </c>
      <c r="C11" s="15">
        <f>VLOOKUP($B11,'County Data'!$B$10:$P$46,2,FALSE)</f>
        <v>23560</v>
      </c>
      <c r="D11" s="6">
        <f t="shared" si="0"/>
        <v>5.615808166281315E-3</v>
      </c>
      <c r="E11" s="14">
        <f t="shared" si="1"/>
        <v>0</v>
      </c>
      <c r="F11" s="10">
        <f t="shared" si="2"/>
        <v>0</v>
      </c>
    </row>
    <row r="12" spans="2:6">
      <c r="B12" s="20" t="str">
        <f>+'County Data'!$B$26</f>
        <v>Josephine</v>
      </c>
      <c r="C12" s="15">
        <f>VLOOKUP($B12,'County Data'!$B$10:$P$46,2,FALSE)</f>
        <v>86395</v>
      </c>
      <c r="D12" s="6">
        <f t="shared" si="0"/>
        <v>2.0593282959502301E-2</v>
      </c>
      <c r="E12" s="14">
        <f t="shared" si="1"/>
        <v>0</v>
      </c>
      <c r="F12" s="10">
        <f t="shared" si="2"/>
        <v>0</v>
      </c>
    </row>
    <row r="13" spans="2:6">
      <c r="B13" s="20" t="str">
        <f>+'County Data'!$B$27</f>
        <v>Klamath</v>
      </c>
      <c r="C13" s="15">
        <f>VLOOKUP($B13,'County Data'!$B$10:$P$46,2,FALSE)</f>
        <v>67960</v>
      </c>
      <c r="D13" s="6">
        <f t="shared" si="0"/>
        <v>1.6199079922770719E-2</v>
      </c>
      <c r="E13" s="14">
        <f t="shared" si="1"/>
        <v>0</v>
      </c>
      <c r="F13" s="10">
        <f t="shared" si="2"/>
        <v>0</v>
      </c>
    </row>
    <row r="14" spans="2:6">
      <c r="B14" s="20" t="str">
        <f>+'County Data'!$B$29</f>
        <v>Lane</v>
      </c>
      <c r="C14" s="15">
        <f>VLOOKUP($B14,'County Data'!$B$10:$P$46,2,FALSE)</f>
        <v>375120</v>
      </c>
      <c r="D14" s="6">
        <f t="shared" si="0"/>
        <v>8.9414344623745617E-2</v>
      </c>
      <c r="E14" s="14">
        <f t="shared" si="1"/>
        <v>0</v>
      </c>
      <c r="F14" s="10">
        <f t="shared" si="2"/>
        <v>0</v>
      </c>
    </row>
    <row r="15" spans="2:6">
      <c r="B15" s="20" t="str">
        <f>+'County Data'!$B$11</f>
        <v>Benton</v>
      </c>
      <c r="C15" s="15">
        <f>VLOOKUP($B15,'County Data'!$B$10:$P$46,2,FALSE)</f>
        <v>93590</v>
      </c>
      <c r="D15" s="6">
        <f t="shared" si="0"/>
        <v>2.2308297380401878E-2</v>
      </c>
      <c r="E15" s="14">
        <f t="shared" si="1"/>
        <v>0</v>
      </c>
      <c r="F15" s="10">
        <f t="shared" si="2"/>
        <v>0</v>
      </c>
    </row>
    <row r="16" spans="2:6">
      <c r="B16" s="20" t="str">
        <f>+'County Data'!$B$30</f>
        <v>Lincoln</v>
      </c>
      <c r="C16" s="15">
        <f>VLOOKUP($B16,'County Data'!$B$10:$P$46,2,FALSE)</f>
        <v>48210</v>
      </c>
      <c r="D16" s="6">
        <f t="shared" si="0"/>
        <v>1.1491430886944914E-2</v>
      </c>
      <c r="E16" s="14">
        <f t="shared" si="1"/>
        <v>0</v>
      </c>
      <c r="F16" s="10">
        <f t="shared" si="2"/>
        <v>0</v>
      </c>
    </row>
    <row r="17" spans="2:6">
      <c r="B17" s="20" t="str">
        <f>+'County Data'!$B$31</f>
        <v>Linn</v>
      </c>
      <c r="C17" s="15">
        <f>VLOOKUP($B17,'County Data'!$B$10:$P$46,2,FALSE)</f>
        <v>125575</v>
      </c>
      <c r="D17" s="6">
        <f t="shared" si="0"/>
        <v>2.9932305198674708E-2</v>
      </c>
      <c r="E17" s="14">
        <f t="shared" si="1"/>
        <v>0</v>
      </c>
      <c r="F17" s="10">
        <f t="shared" si="2"/>
        <v>0</v>
      </c>
    </row>
    <row r="18" spans="2:6">
      <c r="B18" s="20" t="str">
        <f>+'County Data'!$B$32</f>
        <v>Malheur</v>
      </c>
      <c r="C18" s="15">
        <f>VLOOKUP($B18,'County Data'!$B$10:$P$46,2,FALSE)</f>
        <v>31925</v>
      </c>
      <c r="D18" s="6">
        <f t="shared" si="0"/>
        <v>7.6097060996829788E-3</v>
      </c>
      <c r="E18" s="14">
        <f t="shared" si="1"/>
        <v>0</v>
      </c>
      <c r="F18" s="10">
        <f t="shared" si="2"/>
        <v>0</v>
      </c>
    </row>
    <row r="19" spans="2:6">
      <c r="B19" s="20" t="str">
        <f>+'County Data'!$B$33</f>
        <v>Marion</v>
      </c>
      <c r="C19" s="15">
        <f>VLOOKUP($B19,'County Data'!$B$10:$P$46,2,FALSE)</f>
        <v>344035</v>
      </c>
      <c r="D19" s="6">
        <f t="shared" si="0"/>
        <v>8.2004862584320548E-2</v>
      </c>
      <c r="E19" s="14">
        <f t="shared" si="1"/>
        <v>0</v>
      </c>
      <c r="F19" s="10">
        <f t="shared" si="2"/>
        <v>0</v>
      </c>
    </row>
    <row r="20" spans="2:6">
      <c r="B20" s="20" t="str">
        <f>+'County Data'!$B$34</f>
        <v>Morrow</v>
      </c>
      <c r="C20" s="15">
        <f>VLOOKUP($B20,'County Data'!$B$10:$P$46,2,FALSE)</f>
        <v>11885</v>
      </c>
      <c r="D20" s="6">
        <f t="shared" si="0"/>
        <v>2.8329320906728957E-3</v>
      </c>
      <c r="E20" s="14">
        <f t="shared" si="1"/>
        <v>0</v>
      </c>
      <c r="F20" s="10">
        <f t="shared" si="2"/>
        <v>0</v>
      </c>
    </row>
    <row r="21" spans="2:6">
      <c r="B21" s="20" t="str">
        <f>+'County Data'!$B$35</f>
        <v>Multnomah</v>
      </c>
      <c r="C21" s="15">
        <f>VLOOKUP($B21,'County Data'!$B$10:$P$46,2,FALSE)</f>
        <v>813300</v>
      </c>
      <c r="D21" s="6">
        <f t="shared" si="0"/>
        <v>0.19385979548542417</v>
      </c>
      <c r="E21" s="14">
        <f t="shared" si="1"/>
        <v>0</v>
      </c>
      <c r="F21" s="10">
        <f t="shared" si="2"/>
        <v>0</v>
      </c>
    </row>
    <row r="22" spans="2:6">
      <c r="B22" s="20" t="str">
        <f>+'County Data'!$B$36</f>
        <v>Gilliam, Sherman, Wasco</v>
      </c>
      <c r="C22" s="15">
        <f>VLOOKUP($B22,'County Data'!$B$10:$P$46,2,FALSE)</f>
        <v>30970</v>
      </c>
      <c r="D22" s="6">
        <f t="shared" si="0"/>
        <v>7.3820704121278571E-3</v>
      </c>
      <c r="E22" s="14">
        <f t="shared" si="1"/>
        <v>0</v>
      </c>
      <c r="F22" s="10">
        <f t="shared" si="2"/>
        <v>0</v>
      </c>
    </row>
    <row r="23" spans="2:6">
      <c r="B23" s="20" t="str">
        <f>+'County Data'!$B$37</f>
        <v>Polk</v>
      </c>
      <c r="C23" s="15">
        <f>VLOOKUP($B23,'County Data'!$B$10:$P$46,2,FALSE)</f>
        <v>82100</v>
      </c>
      <c r="D23" s="6">
        <f t="shared" si="0"/>
        <v>1.9569518270445497E-2</v>
      </c>
      <c r="E23" s="14">
        <f t="shared" si="1"/>
        <v>0</v>
      </c>
      <c r="F23" s="10">
        <f t="shared" si="2"/>
        <v>0</v>
      </c>
    </row>
    <row r="24" spans="2:6">
      <c r="B24" s="20" t="str">
        <f>+'County Data'!$B$39</f>
        <v>Tillamook</v>
      </c>
      <c r="C24" s="15">
        <f>VLOOKUP($B24,'County Data'!$B$10:$P$46,2,FALSE)</f>
        <v>26395</v>
      </c>
      <c r="D24" s="6">
        <f t="shared" si="0"/>
        <v>6.2915643696517531E-3</v>
      </c>
      <c r="E24" s="14">
        <f t="shared" si="1"/>
        <v>0</v>
      </c>
      <c r="F24" s="10">
        <f t="shared" si="2"/>
        <v>0</v>
      </c>
    </row>
    <row r="25" spans="2:6">
      <c r="B25" s="20" t="str">
        <f>+'County Data'!$B$40</f>
        <v>Umatilla</v>
      </c>
      <c r="C25" s="15">
        <f>VLOOKUP($B25,'County Data'!$B$10:$P$46,2,FALSE)</f>
        <v>80765</v>
      </c>
      <c r="D25" s="6">
        <f t="shared" si="0"/>
        <v>1.9251305031821323E-2</v>
      </c>
      <c r="E25" s="14">
        <f t="shared" si="1"/>
        <v>0</v>
      </c>
      <c r="F25" s="10">
        <f t="shared" si="2"/>
        <v>0</v>
      </c>
    </row>
    <row r="26" spans="2:6">
      <c r="B26" s="20" t="str">
        <f>+'County Data'!$B$12</f>
        <v>Clackamas</v>
      </c>
      <c r="C26" s="15">
        <f>VLOOKUP($B26,'County Data'!$B$10:$P$46,2,FALSE)</f>
        <v>419425</v>
      </c>
      <c r="D26" s="6">
        <f t="shared" si="0"/>
        <v>9.9974971992467757E-2</v>
      </c>
      <c r="E26" s="14">
        <f t="shared" si="1"/>
        <v>0</v>
      </c>
      <c r="F26" s="10">
        <f t="shared" si="2"/>
        <v>0</v>
      </c>
    </row>
    <row r="27" spans="2:6">
      <c r="B27" s="20" t="str">
        <f>+'County Data'!$B$41</f>
        <v>Union</v>
      </c>
      <c r="C27" s="15">
        <f>VLOOKUP($B27,'County Data'!$B$10:$P$46,2,FALSE)</f>
        <v>26885</v>
      </c>
      <c r="D27" s="6">
        <f t="shared" si="0"/>
        <v>6.4083617381355323E-3</v>
      </c>
      <c r="E27" s="14">
        <f t="shared" si="1"/>
        <v>0</v>
      </c>
      <c r="F27" s="10">
        <f t="shared" si="2"/>
        <v>0</v>
      </c>
    </row>
    <row r="28" spans="2:6">
      <c r="B28" s="20" t="str">
        <f>+'County Data'!$B$44</f>
        <v>Washington</v>
      </c>
      <c r="C28" s="15">
        <f>VLOOKUP($B28,'County Data'!$B$10:$P$46,2,FALSE)</f>
        <v>606280</v>
      </c>
      <c r="D28" s="6">
        <f t="shared" si="0"/>
        <v>0.14451409911090982</v>
      </c>
      <c r="E28" s="14">
        <f t="shared" si="1"/>
        <v>0</v>
      </c>
      <c r="F28" s="10">
        <f t="shared" si="2"/>
        <v>0</v>
      </c>
    </row>
    <row r="29" spans="2:6">
      <c r="B29" s="20" t="str">
        <f>+'County Data'!$B$46</f>
        <v>Yamhill</v>
      </c>
      <c r="C29" s="15">
        <f>VLOOKUP($B29,'County Data'!$B$10:$P$46,2,FALSE)</f>
        <v>107415</v>
      </c>
      <c r="D29" s="6">
        <f t="shared" si="0"/>
        <v>2.5603651705479943E-2</v>
      </c>
      <c r="E29" s="14">
        <f t="shared" si="1"/>
        <v>0</v>
      </c>
      <c r="F29" s="10">
        <f t="shared" si="2"/>
        <v>0</v>
      </c>
    </row>
    <row r="30" spans="2:6">
      <c r="B30" s="20" t="str">
        <f>+'County Data'!$B$13</f>
        <v>Clatsop</v>
      </c>
      <c r="C30" s="15">
        <f>VLOOKUP($B30,'County Data'!$B$10:$P$46,2,FALSE)</f>
        <v>39200</v>
      </c>
      <c r="D30" s="6">
        <f t="shared" si="0"/>
        <v>9.3437894787023572E-3</v>
      </c>
      <c r="E30" s="14">
        <f t="shared" si="1"/>
        <v>0</v>
      </c>
      <c r="F30" s="10">
        <f t="shared" si="2"/>
        <v>0</v>
      </c>
    </row>
    <row r="31" spans="2:6">
      <c r="B31" s="20" t="str">
        <f>+'County Data'!$B$14</f>
        <v>Columbia</v>
      </c>
      <c r="C31" s="15">
        <f>VLOOKUP($B31,'County Data'!$B$10:$P$46,2,FALSE)</f>
        <v>51900</v>
      </c>
      <c r="D31" s="6">
        <f t="shared" si="0"/>
        <v>1.2370986580220723E-2</v>
      </c>
      <c r="E31" s="14">
        <f t="shared" si="1"/>
        <v>0</v>
      </c>
      <c r="F31" s="10">
        <f t="shared" si="2"/>
        <v>0</v>
      </c>
    </row>
    <row r="32" spans="2:6">
      <c r="B32" s="20" t="str">
        <f>+'County Data'!$B$15</f>
        <v>Coos</v>
      </c>
      <c r="C32" s="15">
        <f>VLOOKUP($B32,'County Data'!$B$10:$P$46,2,FALSE)</f>
        <v>63275</v>
      </c>
      <c r="D32" s="6">
        <f t="shared" si="0"/>
        <v>1.508235406287989E-2</v>
      </c>
      <c r="E32" s="14">
        <f t="shared" si="1"/>
        <v>0</v>
      </c>
      <c r="F32" s="10">
        <f t="shared" si="2"/>
        <v>0</v>
      </c>
    </row>
    <row r="33" spans="2:6">
      <c r="B33" s="20" t="str">
        <f>+'County Data'!$B$16</f>
        <v>Crook</v>
      </c>
      <c r="C33" s="15">
        <f>VLOOKUP($B33,'County Data'!$B$10:$P$46,2,FALSE)</f>
        <v>22710</v>
      </c>
      <c r="D33" s="6">
        <f t="shared" si="0"/>
        <v>5.4132004862584319E-3</v>
      </c>
      <c r="E33" s="14">
        <f t="shared" si="1"/>
        <v>0</v>
      </c>
      <c r="F33" s="10">
        <f t="shared" si="2"/>
        <v>0</v>
      </c>
    </row>
    <row r="34" spans="2:6">
      <c r="B34" s="20" t="str">
        <f>+'County Data'!$B$17</f>
        <v>Curry</v>
      </c>
      <c r="C34" s="15">
        <f>VLOOKUP($B34,'County Data'!$B$10:$P$46,2,FALSE)</f>
        <v>22915</v>
      </c>
      <c r="D34" s="6">
        <f t="shared" si="0"/>
        <v>5.4620646914404214E-3</v>
      </c>
      <c r="E34" s="14">
        <f t="shared" si="1"/>
        <v>0</v>
      </c>
      <c r="F34" s="10">
        <f t="shared" si="2"/>
        <v>0</v>
      </c>
    </row>
    <row r="35" spans="2:6">
      <c r="B35" s="20" t="str">
        <f>+'County Data'!$B$18</f>
        <v>Deschutes</v>
      </c>
      <c r="C35" s="15">
        <f>VLOOKUP($B35,'County Data'!$B$10:$P$46,2,FALSE)</f>
        <v>188980</v>
      </c>
      <c r="D35" s="6">
        <f t="shared" si="0"/>
        <v>4.504564631849927E-2</v>
      </c>
      <c r="E35" s="14">
        <f t="shared" si="1"/>
        <v>0</v>
      </c>
      <c r="F35" s="10">
        <f t="shared" si="2"/>
        <v>0</v>
      </c>
    </row>
    <row r="36" spans="2:6">
      <c r="B36" s="20" t="str">
        <f>+'County Data'!$B$21</f>
        <v>Grant</v>
      </c>
      <c r="C36" s="15">
        <f>VLOOKUP($B36,'County Data'!$B$10:$P$46,2,FALSE)</f>
        <v>7400</v>
      </c>
      <c r="D36" s="6">
        <f t="shared" si="0"/>
        <v>1.7638786260815674E-3</v>
      </c>
      <c r="E36" s="14">
        <f t="shared" si="1"/>
        <v>0</v>
      </c>
      <c r="F36" s="10">
        <f t="shared" si="2"/>
        <v>0</v>
      </c>
    </row>
    <row r="37" spans="2:6">
      <c r="B37" s="20" t="str">
        <f>+'County Data'!$B$22</f>
        <v>Harney</v>
      </c>
      <c r="C37" s="15">
        <f>VLOOKUP($B37,'County Data'!$B$10:$P$46,2,FALSE)</f>
        <v>7380</v>
      </c>
      <c r="D37" s="6">
        <f t="shared" si="0"/>
        <v>1.7591113865516174E-3</v>
      </c>
      <c r="E37" s="14">
        <f t="shared" si="1"/>
        <v>0</v>
      </c>
      <c r="F37" s="10">
        <f t="shared" si="2"/>
        <v>0</v>
      </c>
    </row>
    <row r="38" spans="2:6">
      <c r="B38" s="20" t="str">
        <f>+'County Data'!$B$28</f>
        <v>Lake</v>
      </c>
      <c r="C38" s="15">
        <f>VLOOKUP($B38,'County Data'!$B$10:$P$46,2,FALSE)</f>
        <v>8115</v>
      </c>
      <c r="D38" s="6">
        <f t="shared" si="0"/>
        <v>1.9343074392772865E-3</v>
      </c>
      <c r="E38" s="14">
        <f t="shared" si="1"/>
        <v>0</v>
      </c>
      <c r="F38" s="10">
        <f t="shared" si="2"/>
        <v>0</v>
      </c>
    </row>
    <row r="39" spans="2:6">
      <c r="B39" s="20" t="str">
        <f>+'County Data'!$B$42</f>
        <v>Wallowa</v>
      </c>
      <c r="C39" s="15">
        <f>VLOOKUP($B39,'County Data'!$B$10:$P$46,2,FALSE)</f>
        <v>7175</v>
      </c>
      <c r="D39" s="6">
        <f t="shared" si="0"/>
        <v>1.7102471813696279E-3</v>
      </c>
      <c r="E39" s="14">
        <f t="shared" si="1"/>
        <v>0</v>
      </c>
      <c r="F39" s="10">
        <f t="shared" si="2"/>
        <v>0</v>
      </c>
    </row>
    <row r="40" spans="2:6">
      <c r="B40" s="20" t="str">
        <f>'County Data'!$B$45</f>
        <v>Wheeler</v>
      </c>
      <c r="C40" s="15">
        <f>VLOOKUP($B40,'County Data'!$B$10:$P$46,2,FALSE)</f>
        <v>1450</v>
      </c>
      <c r="D40" s="6">
        <f t="shared" si="0"/>
        <v>3.4562486592138825E-4</v>
      </c>
      <c r="E40" s="14">
        <f t="shared" si="1"/>
        <v>0</v>
      </c>
      <c r="F40" s="10">
        <f t="shared" si="2"/>
        <v>0</v>
      </c>
    </row>
    <row r="41" spans="2:6">
      <c r="B41" s="4" t="s">
        <v>2</v>
      </c>
      <c r="C41" s="5">
        <f>SUM(C7:C40)</f>
        <v>4195300</v>
      </c>
      <c r="D41" s="8">
        <f>SUM(D7:D40)</f>
        <v>1</v>
      </c>
      <c r="E41" s="11">
        <f>SUM(E7:E40)</f>
        <v>0</v>
      </c>
      <c r="F41" s="12">
        <f>E41/C41</f>
        <v>0</v>
      </c>
    </row>
  </sheetData>
  <sortState ref="B7:F40">
    <sortCondition ref="B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5"/>
  <sheetViews>
    <sheetView workbookViewId="0">
      <selection activeCell="J10" sqref="J10"/>
    </sheetView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12.1640625" bestFit="1" customWidth="1"/>
    <col min="5" max="5" width="14.1640625" customWidth="1"/>
    <col min="6" max="6" width="10" bestFit="1" customWidth="1"/>
    <col min="7" max="7" width="13.5" bestFit="1" customWidth="1"/>
    <col min="8" max="8" width="10.6640625" bestFit="1" customWidth="1"/>
    <col min="10" max="10" width="10.83203125" bestFit="1" customWidth="1"/>
    <col min="11" max="11" width="9.83203125" bestFit="1" customWidth="1"/>
  </cols>
  <sheetData>
    <row r="3" spans="2:11">
      <c r="B3" t="s">
        <v>0</v>
      </c>
      <c r="C3" s="1">
        <f>'County Data'!C5</f>
        <v>800000</v>
      </c>
    </row>
    <row r="4" spans="2:11">
      <c r="B4" t="s">
        <v>41</v>
      </c>
      <c r="C4" s="14">
        <f>C3*Input!C16</f>
        <v>1860000.0000000002</v>
      </c>
    </row>
    <row r="6" spans="2:11" s="2" customFormat="1" ht="28">
      <c r="B6" s="3" t="s">
        <v>7</v>
      </c>
      <c r="C6" s="3" t="s">
        <v>1</v>
      </c>
      <c r="D6" s="3" t="s">
        <v>92</v>
      </c>
      <c r="E6" s="13" t="s">
        <v>91</v>
      </c>
      <c r="F6" s="3" t="s">
        <v>6</v>
      </c>
    </row>
    <row r="7" spans="2:11">
      <c r="B7" s="20" t="str">
        <f>+'County Data'!$B$10</f>
        <v>Baker</v>
      </c>
      <c r="C7" s="15">
        <f>VLOOKUP($B7,'County Data'!$B$10:$P$46,2,FALSE)</f>
        <v>16765</v>
      </c>
      <c r="D7" s="15" t="str">
        <f>VLOOKUP($B7,'County Data'!$B$10:$P$46,3,FALSE)</f>
        <v>Extra Small</v>
      </c>
      <c r="E7" s="14">
        <f>VLOOKUP(D7,$H$7:$J$11,3,FALSE)</f>
        <v>6000</v>
      </c>
      <c r="F7" s="10">
        <f t="shared" ref="F7:F42" si="0">E7/C7</f>
        <v>0.35788845809722636</v>
      </c>
      <c r="H7" t="s">
        <v>44</v>
      </c>
      <c r="I7" s="7">
        <f>Input!$C$17</f>
        <v>3.7499999999999999E-2</v>
      </c>
      <c r="J7" s="201">
        <f>Input!C8</f>
        <v>6000</v>
      </c>
      <c r="K7" s="62"/>
    </row>
    <row r="8" spans="2:11">
      <c r="B8" s="20" t="str">
        <f>+'County Data'!$B$11</f>
        <v>Benton</v>
      </c>
      <c r="C8" s="15">
        <f>VLOOKUP($B8,'County Data'!$B$10:$P$46,2,FALSE)</f>
        <v>93590</v>
      </c>
      <c r="D8" s="15" t="str">
        <f>VLOOKUP($B8,'County Data'!$B$10:$P$46,3,FALSE)</f>
        <v>Medium</v>
      </c>
      <c r="E8" s="14">
        <f t="shared" ref="E8:E42" si="1">VLOOKUP(D8,$H$7:$J$11,3,FALSE)</f>
        <v>12000</v>
      </c>
      <c r="F8" s="10">
        <f t="shared" si="0"/>
        <v>0.1282188267977348</v>
      </c>
      <c r="H8" t="s">
        <v>45</v>
      </c>
      <c r="I8" s="7">
        <f>Input!$C$18</f>
        <v>5.6249999999999994E-2</v>
      </c>
      <c r="J8" s="201">
        <f>Input!C9</f>
        <v>9000</v>
      </c>
      <c r="K8" s="195"/>
    </row>
    <row r="9" spans="2:11">
      <c r="B9" s="20" t="str">
        <f>+'County Data'!$B$12</f>
        <v>Clackamas</v>
      </c>
      <c r="C9" s="15">
        <f>VLOOKUP($B9,'County Data'!$B$10:$P$46,2,FALSE)</f>
        <v>419425</v>
      </c>
      <c r="D9" s="15" t="str">
        <f>VLOOKUP($B9,'County Data'!$B$10:$P$46,3,FALSE)</f>
        <v>Extra Large</v>
      </c>
      <c r="E9" s="14">
        <f t="shared" si="1"/>
        <v>18000</v>
      </c>
      <c r="F9" s="10">
        <f t="shared" si="0"/>
        <v>4.2915896763426116E-2</v>
      </c>
      <c r="H9" t="s">
        <v>46</v>
      </c>
      <c r="I9" s="7">
        <f>Input!$C$19</f>
        <v>7.4999999999999997E-2</v>
      </c>
      <c r="J9" s="201">
        <f>Input!C10</f>
        <v>12000</v>
      </c>
      <c r="K9" s="62"/>
    </row>
    <row r="10" spans="2:11">
      <c r="B10" s="20" t="str">
        <f>+'County Data'!$B$13</f>
        <v>Clatsop</v>
      </c>
      <c r="C10" s="15">
        <f>VLOOKUP($B10,'County Data'!$B$10:$P$46,2,FALSE)</f>
        <v>39200</v>
      </c>
      <c r="D10" s="15" t="str">
        <f>VLOOKUP($B10,'County Data'!$B$10:$P$46,3,FALSE)</f>
        <v>Small</v>
      </c>
      <c r="E10" s="14">
        <f t="shared" si="1"/>
        <v>9000</v>
      </c>
      <c r="F10" s="10">
        <f t="shared" si="0"/>
        <v>0.22959183673469388</v>
      </c>
      <c r="H10" t="s">
        <v>47</v>
      </c>
      <c r="I10" s="7">
        <f>Input!$C$20</f>
        <v>9.375E-2</v>
      </c>
      <c r="J10" s="201">
        <f>Input!C11</f>
        <v>15000</v>
      </c>
      <c r="K10" s="195"/>
    </row>
    <row r="11" spans="2:11">
      <c r="B11" s="20" t="str">
        <f>+'County Data'!$B$14</f>
        <v>Columbia</v>
      </c>
      <c r="C11" s="15">
        <f>VLOOKUP($B11,'County Data'!$B$10:$P$46,2,FALSE)</f>
        <v>51900</v>
      </c>
      <c r="D11" s="15" t="str">
        <f>VLOOKUP($B11,'County Data'!$B$10:$P$46,3,FALSE)</f>
        <v>Small</v>
      </c>
      <c r="E11" s="14">
        <f t="shared" si="1"/>
        <v>9000</v>
      </c>
      <c r="F11" s="10">
        <f t="shared" si="0"/>
        <v>0.17341040462427745</v>
      </c>
      <c r="H11" t="s">
        <v>48</v>
      </c>
      <c r="I11" s="7">
        <f>Input!$C$21</f>
        <v>0.11249999999999999</v>
      </c>
      <c r="J11" s="201">
        <f>Input!C12</f>
        <v>18000</v>
      </c>
    </row>
    <row r="12" spans="2:11">
      <c r="B12" s="20" t="str">
        <f>+'County Data'!$B$15</f>
        <v>Coos</v>
      </c>
      <c r="C12" s="15">
        <f>VLOOKUP($B12,'County Data'!$B$10:$P$46,2,FALSE)</f>
        <v>63275</v>
      </c>
      <c r="D12" s="15" t="str">
        <f>VLOOKUP($B12,'County Data'!$B$10:$P$46,3,FALSE)</f>
        <v>Small</v>
      </c>
      <c r="E12" s="14">
        <f t="shared" si="1"/>
        <v>9000</v>
      </c>
      <c r="F12" s="10">
        <f t="shared" si="0"/>
        <v>0.14223627024891347</v>
      </c>
    </row>
    <row r="13" spans="2:11">
      <c r="B13" s="20" t="str">
        <f>+'County Data'!$B$16</f>
        <v>Crook</v>
      </c>
      <c r="C13" s="15">
        <f>VLOOKUP($B13,'County Data'!$B$10:$P$46,2,FALSE)</f>
        <v>22710</v>
      </c>
      <c r="D13" s="15" t="str">
        <f>VLOOKUP($B13,'County Data'!$B$10:$P$46,3,FALSE)</f>
        <v>Small</v>
      </c>
      <c r="E13" s="14">
        <f t="shared" si="1"/>
        <v>9000</v>
      </c>
      <c r="F13" s="10">
        <f t="shared" si="0"/>
        <v>0.39630118890356669</v>
      </c>
    </row>
    <row r="14" spans="2:11">
      <c r="B14" s="20" t="str">
        <f>+'County Data'!$B$17</f>
        <v>Curry</v>
      </c>
      <c r="C14" s="15">
        <f>VLOOKUP($B14,'County Data'!$B$10:$P$46,2,FALSE)</f>
        <v>22915</v>
      </c>
      <c r="D14" s="15" t="str">
        <f>VLOOKUP($B14,'County Data'!$B$10:$P$46,3,FALSE)</f>
        <v>Small</v>
      </c>
      <c r="E14" s="14">
        <f t="shared" si="1"/>
        <v>9000</v>
      </c>
      <c r="F14" s="10">
        <f t="shared" si="0"/>
        <v>0.39275583678813003</v>
      </c>
    </row>
    <row r="15" spans="2:11">
      <c r="B15" s="20" t="str">
        <f>+'County Data'!$B$18</f>
        <v>Deschutes</v>
      </c>
      <c r="C15" s="15">
        <f>VLOOKUP($B15,'County Data'!$B$10:$P$46,2,FALSE)</f>
        <v>188980</v>
      </c>
      <c r="D15" s="15" t="str">
        <f>VLOOKUP($B15,'County Data'!$B$10:$P$46,3,FALSE)</f>
        <v>Large</v>
      </c>
      <c r="E15" s="14">
        <f t="shared" si="1"/>
        <v>15000</v>
      </c>
      <c r="F15" s="10">
        <f t="shared" si="0"/>
        <v>7.937347867499206E-2</v>
      </c>
    </row>
    <row r="16" spans="2:11">
      <c r="B16" s="20" t="str">
        <f>+'County Data'!$B$19</f>
        <v>Douglas</v>
      </c>
      <c r="C16" s="15">
        <f>VLOOKUP($B16,'County Data'!$B$10:$P$46,2,FALSE)</f>
        <v>111735</v>
      </c>
      <c r="D16" s="15" t="str">
        <f>VLOOKUP($B16,'County Data'!$B$10:$P$46,3,FALSE)</f>
        <v>Medium</v>
      </c>
      <c r="E16" s="14">
        <f t="shared" si="1"/>
        <v>12000</v>
      </c>
      <c r="F16" s="10">
        <f t="shared" si="0"/>
        <v>0.10739696603570949</v>
      </c>
    </row>
    <row r="17" spans="2:6">
      <c r="B17" s="20" t="str">
        <f>+'County Data'!$B$20</f>
        <v>Gilliam</v>
      </c>
      <c r="C17" s="15">
        <f>VLOOKUP($B17,'County Data'!$B$10:$P$46,2,FALSE)</f>
        <v>1985</v>
      </c>
      <c r="D17" s="15" t="str">
        <f>VLOOKUP($B17,'County Data'!$B$10:$P$46,3,FALSE)</f>
        <v>Extra Small</v>
      </c>
      <c r="E17" s="14">
        <f t="shared" si="1"/>
        <v>6000</v>
      </c>
      <c r="F17" s="10">
        <f t="shared" si="0"/>
        <v>3.0226700251889169</v>
      </c>
    </row>
    <row r="18" spans="2:6">
      <c r="B18" s="20" t="str">
        <f>+'County Data'!$B$21</f>
        <v>Grant</v>
      </c>
      <c r="C18" s="15">
        <f>VLOOKUP($B18,'County Data'!$B$10:$P$46,2,FALSE)</f>
        <v>7400</v>
      </c>
      <c r="D18" s="15" t="str">
        <f>VLOOKUP($B18,'County Data'!$B$10:$P$46,3,FALSE)</f>
        <v>Extra Small</v>
      </c>
      <c r="E18" s="14">
        <f t="shared" si="1"/>
        <v>6000</v>
      </c>
      <c r="F18" s="10">
        <f t="shared" si="0"/>
        <v>0.81081081081081086</v>
      </c>
    </row>
    <row r="19" spans="2:6">
      <c r="B19" s="20" t="str">
        <f>+'County Data'!$B$22</f>
        <v>Harney</v>
      </c>
      <c r="C19" s="15">
        <f>VLOOKUP($B19,'County Data'!$B$10:$P$46,2,FALSE)</f>
        <v>7380</v>
      </c>
      <c r="D19" s="15" t="str">
        <f>VLOOKUP($B19,'County Data'!$B$10:$P$46,3,FALSE)</f>
        <v>Extra Small</v>
      </c>
      <c r="E19" s="14">
        <f t="shared" si="1"/>
        <v>6000</v>
      </c>
      <c r="F19" s="10">
        <f t="shared" si="0"/>
        <v>0.81300813008130079</v>
      </c>
    </row>
    <row r="20" spans="2:6">
      <c r="B20" s="20" t="str">
        <f>+'County Data'!$B$23</f>
        <v>Hood River</v>
      </c>
      <c r="C20" s="15">
        <f>VLOOKUP($B20,'County Data'!$B$10:$P$46,2,FALSE)</f>
        <v>25310</v>
      </c>
      <c r="D20" s="15" t="str">
        <f>VLOOKUP($B20,'County Data'!$B$10:$P$46,3,FALSE)</f>
        <v>Small</v>
      </c>
      <c r="E20" s="14">
        <f t="shared" si="1"/>
        <v>9000</v>
      </c>
      <c r="F20" s="10">
        <f t="shared" si="0"/>
        <v>0.35559067562228369</v>
      </c>
    </row>
    <row r="21" spans="2:6">
      <c r="B21" s="20" t="str">
        <f>+'County Data'!$B$24</f>
        <v>Jackson</v>
      </c>
      <c r="C21" s="15">
        <f>VLOOKUP($B21,'County Data'!$B$10:$P$46,2,FALSE)</f>
        <v>219200</v>
      </c>
      <c r="D21" s="15" t="str">
        <f>VLOOKUP($B21,'County Data'!$B$10:$P$46,3,FALSE)</f>
        <v>Large</v>
      </c>
      <c r="E21" s="14">
        <f t="shared" si="1"/>
        <v>15000</v>
      </c>
      <c r="F21" s="10">
        <f t="shared" si="0"/>
        <v>6.8430656934306569E-2</v>
      </c>
    </row>
    <row r="22" spans="2:6">
      <c r="B22" s="20" t="str">
        <f>+'County Data'!$B$25</f>
        <v>Jefferson</v>
      </c>
      <c r="C22" s="15">
        <f>VLOOKUP($B22,'County Data'!$B$10:$P$46,2,FALSE)</f>
        <v>23560</v>
      </c>
      <c r="D22" s="15" t="str">
        <f>VLOOKUP($B22,'County Data'!$B$10:$P$46,3,FALSE)</f>
        <v>Small</v>
      </c>
      <c r="E22" s="14">
        <f t="shared" si="1"/>
        <v>9000</v>
      </c>
      <c r="F22" s="10">
        <f t="shared" si="0"/>
        <v>0.38200339558573854</v>
      </c>
    </row>
    <row r="23" spans="2:6">
      <c r="B23" s="20" t="str">
        <f>+'County Data'!$B$26</f>
        <v>Josephine</v>
      </c>
      <c r="C23" s="15">
        <f>VLOOKUP($B23,'County Data'!$B$10:$P$46,2,FALSE)</f>
        <v>86395</v>
      </c>
      <c r="D23" s="15" t="str">
        <f>VLOOKUP($B23,'County Data'!$B$10:$P$46,3,FALSE)</f>
        <v>Medium</v>
      </c>
      <c r="E23" s="14">
        <f t="shared" si="1"/>
        <v>12000</v>
      </c>
      <c r="F23" s="10">
        <f t="shared" si="0"/>
        <v>0.13889692690549221</v>
      </c>
    </row>
    <row r="24" spans="2:6">
      <c r="B24" s="20" t="str">
        <f>+'County Data'!$B$27</f>
        <v>Klamath</v>
      </c>
      <c r="C24" s="15">
        <f>VLOOKUP($B24,'County Data'!$B$10:$P$46,2,FALSE)</f>
        <v>67960</v>
      </c>
      <c r="D24" s="15" t="str">
        <f>VLOOKUP($B24,'County Data'!$B$10:$P$46,3,FALSE)</f>
        <v>Small</v>
      </c>
      <c r="E24" s="14">
        <f t="shared" si="1"/>
        <v>9000</v>
      </c>
      <c r="F24" s="10">
        <f t="shared" si="0"/>
        <v>0.13243084167157151</v>
      </c>
    </row>
    <row r="25" spans="2:6">
      <c r="B25" s="20" t="str">
        <f>+'County Data'!$B$28</f>
        <v>Lake</v>
      </c>
      <c r="C25" s="15">
        <f>VLOOKUP($B25,'County Data'!$B$10:$P$46,2,FALSE)</f>
        <v>8115</v>
      </c>
      <c r="D25" s="15" t="str">
        <f>VLOOKUP($B25,'County Data'!$B$10:$P$46,3,FALSE)</f>
        <v>Extra Small</v>
      </c>
      <c r="E25" s="14">
        <f t="shared" si="1"/>
        <v>6000</v>
      </c>
      <c r="F25" s="10">
        <f t="shared" si="0"/>
        <v>0.73937153419593349</v>
      </c>
    </row>
    <row r="26" spans="2:6">
      <c r="B26" s="20" t="str">
        <f>+'County Data'!$B$29</f>
        <v>Lane</v>
      </c>
      <c r="C26" s="15">
        <f>VLOOKUP($B26,'County Data'!$B$10:$P$46,2,FALSE)</f>
        <v>375120</v>
      </c>
      <c r="D26" s="15" t="str">
        <f>VLOOKUP($B26,'County Data'!$B$10:$P$46,3,FALSE)</f>
        <v>Extra Large</v>
      </c>
      <c r="E26" s="14">
        <f t="shared" si="1"/>
        <v>18000</v>
      </c>
      <c r="F26" s="10">
        <f t="shared" si="0"/>
        <v>4.7984644913627639E-2</v>
      </c>
    </row>
    <row r="27" spans="2:6">
      <c r="B27" s="20" t="str">
        <f>+'County Data'!$B$30</f>
        <v>Lincoln</v>
      </c>
      <c r="C27" s="15">
        <f>VLOOKUP($B27,'County Data'!$B$10:$P$46,2,FALSE)</f>
        <v>48210</v>
      </c>
      <c r="D27" s="15" t="str">
        <f>VLOOKUP($B27,'County Data'!$B$10:$P$46,3,FALSE)</f>
        <v>Small</v>
      </c>
      <c r="E27" s="14">
        <f>VLOOKUP(D27,$H$7:$J$11,3,FALSE)</f>
        <v>9000</v>
      </c>
      <c r="F27" s="10">
        <f t="shared" si="0"/>
        <v>0.18668326073428748</v>
      </c>
    </row>
    <row r="28" spans="2:6">
      <c r="B28" s="20" t="str">
        <f>+'County Data'!$B$31</f>
        <v>Linn</v>
      </c>
      <c r="C28" s="15">
        <f>VLOOKUP($B28,'County Data'!$B$10:$P$46,2,FALSE)</f>
        <v>125575</v>
      </c>
      <c r="D28" s="15" t="str">
        <f>VLOOKUP($B28,'County Data'!$B$10:$P$46,3,FALSE)</f>
        <v>Medium</v>
      </c>
      <c r="E28" s="14">
        <f t="shared" si="1"/>
        <v>12000</v>
      </c>
      <c r="F28" s="10">
        <f t="shared" si="0"/>
        <v>9.5560422058530756E-2</v>
      </c>
    </row>
    <row r="29" spans="2:6">
      <c r="B29" s="20" t="str">
        <f>+'County Data'!$B$32</f>
        <v>Malheur</v>
      </c>
      <c r="C29" s="15">
        <f>VLOOKUP($B29,'County Data'!$B$10:$P$46,2,FALSE)</f>
        <v>31925</v>
      </c>
      <c r="D29" s="15" t="str">
        <f>VLOOKUP($B29,'County Data'!$B$10:$P$46,3,FALSE)</f>
        <v>Small</v>
      </c>
      <c r="E29" s="14">
        <f t="shared" si="1"/>
        <v>9000</v>
      </c>
      <c r="F29" s="10">
        <f t="shared" si="0"/>
        <v>0.28191072826938135</v>
      </c>
    </row>
    <row r="30" spans="2:6">
      <c r="B30" s="20" t="str">
        <f>+'County Data'!$B$33</f>
        <v>Marion</v>
      </c>
      <c r="C30" s="15">
        <f>VLOOKUP($B30,'County Data'!$B$10:$P$46,2,FALSE)</f>
        <v>344035</v>
      </c>
      <c r="D30" s="15" t="str">
        <f>VLOOKUP($B30,'County Data'!$B$10:$P$46,3,FALSE)</f>
        <v>Large</v>
      </c>
      <c r="E30" s="14">
        <f t="shared" si="1"/>
        <v>15000</v>
      </c>
      <c r="F30" s="10">
        <f t="shared" si="0"/>
        <v>4.3600215094394469E-2</v>
      </c>
    </row>
    <row r="31" spans="2:6">
      <c r="B31" s="20" t="str">
        <f>+'County Data'!$B$34</f>
        <v>Morrow</v>
      </c>
      <c r="C31" s="15">
        <f>VLOOKUP($B31,'County Data'!$B$10:$P$46,2,FALSE)</f>
        <v>11885</v>
      </c>
      <c r="D31" s="15" t="str">
        <f>VLOOKUP($B31,'County Data'!$B$10:$P$46,3,FALSE)</f>
        <v>Extra Small</v>
      </c>
      <c r="E31" s="14">
        <f t="shared" si="1"/>
        <v>6000</v>
      </c>
      <c r="F31" s="10">
        <f t="shared" si="0"/>
        <v>0.50483803113167858</v>
      </c>
    </row>
    <row r="32" spans="2:6">
      <c r="B32" s="20" t="str">
        <f>+'County Data'!$B$35</f>
        <v>Multnomah</v>
      </c>
      <c r="C32" s="15">
        <f>VLOOKUP($B32,'County Data'!$B$10:$P$46,2,FALSE)</f>
        <v>813300</v>
      </c>
      <c r="D32" s="15" t="str">
        <f>VLOOKUP($B32,'County Data'!$B$10:$P$46,3,FALSE)</f>
        <v>Extra Large</v>
      </c>
      <c r="E32" s="14">
        <f t="shared" si="1"/>
        <v>18000</v>
      </c>
      <c r="F32" s="10">
        <f t="shared" si="0"/>
        <v>2.2132054592401328E-2</v>
      </c>
    </row>
    <row r="33" spans="2:6">
      <c r="B33" s="20" t="str">
        <f>+'County Data'!$B$37</f>
        <v>Polk</v>
      </c>
      <c r="C33" s="15">
        <f>VLOOKUP($B33,'County Data'!$B$10:$P$46,2,FALSE)</f>
        <v>82100</v>
      </c>
      <c r="D33" s="15" t="str">
        <f>VLOOKUP($B33,'County Data'!$B$10:$P$46,3,FALSE)</f>
        <v>Medium</v>
      </c>
      <c r="E33" s="14">
        <f t="shared" si="1"/>
        <v>12000</v>
      </c>
      <c r="F33" s="10">
        <f t="shared" si="0"/>
        <v>0.146163215590743</v>
      </c>
    </row>
    <row r="34" spans="2:6">
      <c r="B34" s="20" t="str">
        <f>+'County Data'!$B$38</f>
        <v>Sherman</v>
      </c>
      <c r="C34" s="15">
        <f>VLOOKUP($B34,'County Data'!$B$10:$P$46,2,FALSE)</f>
        <v>1785</v>
      </c>
      <c r="D34" s="15" t="str">
        <f>VLOOKUP($B34,'County Data'!$B$10:$P$46,3,FALSE)</f>
        <v>Extra Small</v>
      </c>
      <c r="E34" s="14">
        <f t="shared" si="1"/>
        <v>6000</v>
      </c>
      <c r="F34" s="10">
        <f t="shared" si="0"/>
        <v>3.3613445378151261</v>
      </c>
    </row>
    <row r="35" spans="2:6">
      <c r="B35" s="20" t="str">
        <f>+'County Data'!$B$39</f>
        <v>Tillamook</v>
      </c>
      <c r="C35" s="15">
        <f>VLOOKUP($B35,'County Data'!$B$10:$P$46,2,FALSE)</f>
        <v>26395</v>
      </c>
      <c r="D35" s="15" t="str">
        <f>VLOOKUP($B35,'County Data'!$B$10:$P$46,3,FALSE)</f>
        <v>Small</v>
      </c>
      <c r="E35" s="14">
        <f t="shared" si="1"/>
        <v>9000</v>
      </c>
      <c r="F35" s="10">
        <f t="shared" si="0"/>
        <v>0.34097366925554085</v>
      </c>
    </row>
    <row r="36" spans="2:6">
      <c r="B36" s="20" t="str">
        <f>+'County Data'!$B$40</f>
        <v>Umatilla</v>
      </c>
      <c r="C36" s="15">
        <f>VLOOKUP($B36,'County Data'!$B$10:$P$46,2,FALSE)</f>
        <v>80765</v>
      </c>
      <c r="D36" s="15" t="str">
        <f>VLOOKUP($B36,'County Data'!$B$10:$P$46,3,FALSE)</f>
        <v>Medium</v>
      </c>
      <c r="E36" s="14">
        <f t="shared" si="1"/>
        <v>12000</v>
      </c>
      <c r="F36" s="10">
        <f t="shared" si="0"/>
        <v>0.14857921129202006</v>
      </c>
    </row>
    <row r="37" spans="2:6">
      <c r="B37" s="20" t="str">
        <f>+'County Data'!$B$41</f>
        <v>Union</v>
      </c>
      <c r="C37" s="15">
        <f>VLOOKUP($B37,'County Data'!$B$10:$P$46,2,FALSE)</f>
        <v>26885</v>
      </c>
      <c r="D37" s="15" t="str">
        <f>VLOOKUP($B37,'County Data'!$B$10:$P$46,3,FALSE)</f>
        <v>Small</v>
      </c>
      <c r="E37" s="14">
        <f t="shared" si="1"/>
        <v>9000</v>
      </c>
      <c r="F37" s="10">
        <f t="shared" si="0"/>
        <v>0.33475915938255535</v>
      </c>
    </row>
    <row r="38" spans="2:6">
      <c r="B38" s="20" t="str">
        <f>+'County Data'!$B$42</f>
        <v>Wallowa</v>
      </c>
      <c r="C38" s="15">
        <f>VLOOKUP($B38,'County Data'!$B$10:$P$46,2,FALSE)</f>
        <v>7175</v>
      </c>
      <c r="D38" s="15" t="str">
        <f>VLOOKUP($B38,'County Data'!$B$10:$P$46,3,FALSE)</f>
        <v>Extra Small</v>
      </c>
      <c r="E38" s="14">
        <f t="shared" si="1"/>
        <v>6000</v>
      </c>
      <c r="F38" s="10">
        <f t="shared" si="0"/>
        <v>0.83623693379790942</v>
      </c>
    </row>
    <row r="39" spans="2:6">
      <c r="B39" s="20" t="str">
        <f>+'County Data'!$B$43</f>
        <v>Wasco</v>
      </c>
      <c r="C39" s="15">
        <f>VLOOKUP($B39,'County Data'!$B$10:$P$46,2,FALSE)</f>
        <v>27200</v>
      </c>
      <c r="D39" s="15" t="str">
        <f>VLOOKUP($B39,'County Data'!$B$10:$P$46,3,FALSE)</f>
        <v>Small</v>
      </c>
      <c r="E39" s="14">
        <f t="shared" si="1"/>
        <v>9000</v>
      </c>
      <c r="F39" s="10">
        <f t="shared" si="0"/>
        <v>0.33088235294117646</v>
      </c>
    </row>
    <row r="40" spans="2:6">
      <c r="B40" s="20" t="str">
        <f>+'County Data'!$B$44</f>
        <v>Washington</v>
      </c>
      <c r="C40" s="15">
        <f>VLOOKUP($B40,'County Data'!$B$10:$P$46,2,FALSE)</f>
        <v>606280</v>
      </c>
      <c r="D40" s="15" t="str">
        <f>VLOOKUP($B40,'County Data'!$B$10:$P$46,3,FALSE)</f>
        <v>Extra Large</v>
      </c>
      <c r="E40" s="14">
        <f t="shared" si="1"/>
        <v>18000</v>
      </c>
      <c r="F40" s="10">
        <f t="shared" si="0"/>
        <v>2.9689252490598405E-2</v>
      </c>
    </row>
    <row r="41" spans="2:6">
      <c r="B41" s="20" t="str">
        <f>'County Data'!$B$45</f>
        <v>Wheeler</v>
      </c>
      <c r="C41" s="15">
        <f>VLOOKUP($B41,'County Data'!$B$10:$P$46,2,FALSE)</f>
        <v>1450</v>
      </c>
      <c r="D41" s="15" t="str">
        <f>VLOOKUP($B41,'County Data'!$B$10:$P$46,3,FALSE)</f>
        <v>Extra Small</v>
      </c>
      <c r="E41" s="14">
        <f t="shared" si="1"/>
        <v>6000</v>
      </c>
      <c r="F41" s="10">
        <f t="shared" si="0"/>
        <v>4.1379310344827589</v>
      </c>
    </row>
    <row r="42" spans="2:6">
      <c r="B42" s="20" t="str">
        <f>+'County Data'!$B$46</f>
        <v>Yamhill</v>
      </c>
      <c r="C42" s="15">
        <f>VLOOKUP($B42,'County Data'!$B$10:$P$46,2,FALSE)</f>
        <v>107415</v>
      </c>
      <c r="D42" s="15" t="str">
        <f>VLOOKUP($B42,'County Data'!$B$10:$P$46,3,FALSE)</f>
        <v>Medium</v>
      </c>
      <c r="E42" s="14">
        <f t="shared" si="1"/>
        <v>12000</v>
      </c>
      <c r="F42" s="10">
        <f t="shared" si="0"/>
        <v>0.11171624074849881</v>
      </c>
    </row>
    <row r="43" spans="2:6">
      <c r="B43" s="4" t="s">
        <v>2</v>
      </c>
      <c r="C43" s="5">
        <f>SUM(C7:C42)</f>
        <v>4195300</v>
      </c>
      <c r="D43" s="8">
        <f>SUM(D7:D42)</f>
        <v>0</v>
      </c>
      <c r="E43" s="11">
        <f>SUM(E7:E42)</f>
        <v>372000</v>
      </c>
      <c r="F43" s="12">
        <f>E43/C43</f>
        <v>8.8670655257073391E-2</v>
      </c>
    </row>
    <row r="44" spans="2:6">
      <c r="E44" s="22">
        <f>E43-C4</f>
        <v>-1488000.0000000002</v>
      </c>
    </row>
    <row r="45" spans="2:6">
      <c r="B45" s="60" t="s">
        <v>87</v>
      </c>
      <c r="C45" s="61">
        <f>SUM(C17,C34,C39)</f>
        <v>30970</v>
      </c>
      <c r="D45" s="60"/>
      <c r="E45" s="61">
        <f>SUM(E17,E34,E39)</f>
        <v>21000</v>
      </c>
      <c r="F45" s="60">
        <f>E45/C45</f>
        <v>0.67807555699063615</v>
      </c>
    </row>
  </sheetData>
  <sortState ref="B7:F42">
    <sortCondition ref="B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B3:K41"/>
  <sheetViews>
    <sheetView workbookViewId="0">
      <selection activeCell="C4" sqref="C4"/>
    </sheetView>
  </sheetViews>
  <sheetFormatPr baseColWidth="10" defaultColWidth="8.83203125" defaultRowHeight="14" x14ac:dyDescent="0"/>
  <cols>
    <col min="1" max="1" width="9.1640625" customWidth="1"/>
    <col min="2" max="2" width="17.5" bestFit="1" customWidth="1"/>
    <col min="3" max="3" width="11.83203125" bestFit="1" customWidth="1"/>
    <col min="4" max="5" width="10.5" bestFit="1" customWidth="1"/>
    <col min="6" max="6" width="9.6640625" bestFit="1" customWidth="1"/>
    <col min="7" max="7" width="14.1640625" customWidth="1"/>
    <col min="8" max="8" width="10" bestFit="1" customWidth="1"/>
    <col min="11" max="11" width="10.5" bestFit="1" customWidth="1"/>
  </cols>
  <sheetData>
    <row r="3" spans="2:11">
      <c r="B3" t="s">
        <v>0</v>
      </c>
      <c r="C3" s="1">
        <f>'County Data'!C5</f>
        <v>800000</v>
      </c>
    </row>
    <row r="4" spans="2:11">
      <c r="B4" t="s">
        <v>41</v>
      </c>
      <c r="C4" s="14">
        <f>'County Data'!E9</f>
        <v>71333.333333333314</v>
      </c>
      <c r="D4" s="9"/>
    </row>
    <row r="5" spans="2:11">
      <c r="B5" s="26"/>
      <c r="C5" s="26"/>
      <c r="D5" s="26"/>
      <c r="E5" s="26"/>
      <c r="F5" s="26"/>
      <c r="G5" s="26"/>
      <c r="H5" s="26"/>
    </row>
    <row r="6" spans="2:11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>
      <c r="B7" s="20" t="str">
        <f>'County Data'!$B$11</f>
        <v>Benton</v>
      </c>
      <c r="C7" s="15">
        <f>VLOOKUP($B7,'County Data'!$B$10:$L$46,2,FALSE)</f>
        <v>93590</v>
      </c>
      <c r="D7" s="34">
        <f>VLOOKUP(B7,'County Data'!$B$10:$L$46,4,FALSE)</f>
        <v>4.3643250000000001E-2</v>
      </c>
      <c r="E7" s="31">
        <f t="shared" ref="E7:E40" si="0">C7*D7</f>
        <v>4084.5717675000001</v>
      </c>
      <c r="F7" s="6">
        <f>E7/$E$41</f>
        <v>1.5130856225248202E-2</v>
      </c>
      <c r="G7" s="14">
        <f>$C$4*F7</f>
        <v>1079.3344107343714</v>
      </c>
      <c r="H7" s="10">
        <f t="shared" ref="H7:H40" si="1">G7/C7</f>
        <v>1.1532582655565461E-2</v>
      </c>
      <c r="I7" s="22"/>
      <c r="K7" s="32"/>
    </row>
    <row r="8" spans="2:11">
      <c r="B8" s="20" t="str">
        <f>'County Data'!$B$44</f>
        <v>Washington</v>
      </c>
      <c r="C8" s="15">
        <f>VLOOKUP($B8,'County Data'!$B$10:$L$46,2,FALSE)</f>
        <v>606280</v>
      </c>
      <c r="D8" s="34">
        <f>VLOOKUP(B8,'County Data'!$B$10:$L$46,4,FALSE)</f>
        <v>4.3630659999999995E-2</v>
      </c>
      <c r="E8" s="31">
        <f t="shared" si="0"/>
        <v>26452.396544799998</v>
      </c>
      <c r="F8" s="6">
        <f t="shared" ref="F8:F40" si="2">E8/$E$41</f>
        <v>9.7990054212609964E-2</v>
      </c>
      <c r="G8" s="14">
        <f t="shared" ref="G8:G40" si="3">$C$4*F8</f>
        <v>6989.9572004995089</v>
      </c>
      <c r="H8" s="10">
        <f t="shared" si="1"/>
        <v>1.1529255790228126E-2</v>
      </c>
      <c r="I8" s="22"/>
    </row>
    <row r="9" spans="2:11">
      <c r="B9" s="20" t="str">
        <f>'County Data'!$B$23</f>
        <v>Hood River</v>
      </c>
      <c r="C9" s="15">
        <f>VLOOKUP($B9,'County Data'!$B$10:$L$46,2,FALSE)</f>
        <v>25310</v>
      </c>
      <c r="D9" s="34">
        <f>VLOOKUP(B9,'County Data'!$B$10:$L$46,4,FALSE)</f>
        <v>5.0952200000000003E-2</v>
      </c>
      <c r="E9" s="31">
        <f t="shared" si="0"/>
        <v>1289.6001820000001</v>
      </c>
      <c r="F9" s="6">
        <f t="shared" si="2"/>
        <v>4.7771849908855631E-3</v>
      </c>
      <c r="G9" s="14">
        <f t="shared" si="3"/>
        <v>340.77252934983676</v>
      </c>
      <c r="H9" s="10">
        <f t="shared" si="1"/>
        <v>1.3463948216113662E-2</v>
      </c>
      <c r="I9" s="22"/>
    </row>
    <row r="10" spans="2:11">
      <c r="B10" s="20" t="str">
        <f>'County Data'!$B$12</f>
        <v>Clackamas</v>
      </c>
      <c r="C10" s="15">
        <f>VLOOKUP($B10,'County Data'!$B$10:$L$46,2,FALSE)</f>
        <v>419425</v>
      </c>
      <c r="D10" s="34">
        <f>VLOOKUP(B10,'County Data'!$B$10:$L$46,4,FALSE)</f>
        <v>5.6229189999999998E-2</v>
      </c>
      <c r="E10" s="31">
        <f t="shared" si="0"/>
        <v>23583.92801575</v>
      </c>
      <c r="F10" s="6">
        <f t="shared" si="2"/>
        <v>8.7364121466110667E-2</v>
      </c>
      <c r="G10" s="14">
        <f t="shared" si="3"/>
        <v>6231.9739979158921</v>
      </c>
      <c r="H10" s="10">
        <f t="shared" si="1"/>
        <v>1.4858375151495243E-2</v>
      </c>
      <c r="I10" s="22"/>
    </row>
    <row r="11" spans="2:11">
      <c r="B11" s="20" t="str">
        <f>'County Data'!$B$37</f>
        <v>Polk</v>
      </c>
      <c r="C11" s="15">
        <f>VLOOKUP($B11,'County Data'!$B$10:$L$46,2,FALSE)</f>
        <v>82100</v>
      </c>
      <c r="D11" s="34">
        <f>VLOOKUP(B11,'County Data'!$B$10:$L$46,4,FALSE)</f>
        <v>5.8934719999999996E-2</v>
      </c>
      <c r="E11" s="31">
        <f t="shared" si="0"/>
        <v>4838.5405119999996</v>
      </c>
      <c r="F11" s="6">
        <f t="shared" si="2"/>
        <v>1.7923852240676982E-2</v>
      </c>
      <c r="G11" s="14">
        <f t="shared" si="3"/>
        <v>1278.5681265016244</v>
      </c>
      <c r="H11" s="10">
        <f t="shared" si="1"/>
        <v>1.5573302393442441E-2</v>
      </c>
      <c r="I11" s="22"/>
    </row>
    <row r="12" spans="2:11">
      <c r="B12" s="20" t="str">
        <f>'County Data'!$B$18</f>
        <v>Deschutes</v>
      </c>
      <c r="C12" s="15">
        <f>VLOOKUP($B12,'County Data'!$B$10:$L$46,2,FALSE)</f>
        <v>188980</v>
      </c>
      <c r="D12" s="34">
        <f>VLOOKUP(B12,'County Data'!$B$10:$L$46,4,FALSE)</f>
        <v>5.5273819999999994E-2</v>
      </c>
      <c r="E12" s="31">
        <f t="shared" si="0"/>
        <v>10445.646503599999</v>
      </c>
      <c r="F12" s="6">
        <f t="shared" si="2"/>
        <v>3.86947725299671E-2</v>
      </c>
      <c r="G12" s="14">
        <f t="shared" si="3"/>
        <v>2760.2271071376522</v>
      </c>
      <c r="H12" s="10">
        <f t="shared" si="1"/>
        <v>1.4605921828435032E-2</v>
      </c>
      <c r="I12" s="22"/>
    </row>
    <row r="13" spans="2:11">
      <c r="B13" s="20" t="str">
        <f>'County Data'!$B$46</f>
        <v>Yamhill</v>
      </c>
      <c r="C13" s="15">
        <f>VLOOKUP($B13,'County Data'!$B$10:$L$46,2,FALSE)</f>
        <v>107415</v>
      </c>
      <c r="D13" s="34">
        <f>VLOOKUP(B13,'County Data'!$B$10:$L$46,4,FALSE)</f>
        <v>5.9052179999999996E-2</v>
      </c>
      <c r="E13" s="31">
        <f t="shared" si="0"/>
        <v>6343.0899146999991</v>
      </c>
      <c r="F13" s="6">
        <f t="shared" si="2"/>
        <v>2.3497293470715733E-2</v>
      </c>
      <c r="G13" s="14">
        <f t="shared" si="3"/>
        <v>1676.1402675777217</v>
      </c>
      <c r="H13" s="10">
        <f t="shared" si="1"/>
        <v>1.5604340805080498E-2</v>
      </c>
      <c r="I13" s="22"/>
    </row>
    <row r="14" spans="2:11">
      <c r="B14" s="20" t="str">
        <f>'County Data'!$B$21</f>
        <v>Grant</v>
      </c>
      <c r="C14" s="15">
        <f>VLOOKUP($B14,'County Data'!$B$10:$L$46,2,FALSE)</f>
        <v>7400</v>
      </c>
      <c r="D14" s="34">
        <f>VLOOKUP(B14,'County Data'!$B$10:$L$46,4,FALSE)</f>
        <v>6.5026090000000009E-2</v>
      </c>
      <c r="E14" s="31">
        <f t="shared" si="0"/>
        <v>481.19306600000004</v>
      </c>
      <c r="F14" s="6">
        <f t="shared" si="2"/>
        <v>1.7825278909687733E-3</v>
      </c>
      <c r="G14" s="14">
        <f t="shared" si="3"/>
        <v>127.15365622243912</v>
      </c>
      <c r="H14" s="10">
        <f t="shared" si="1"/>
        <v>1.7182926516545828E-2</v>
      </c>
      <c r="I14" s="22"/>
    </row>
    <row r="15" spans="2:11">
      <c r="B15" s="20" t="str">
        <f>'County Data'!$B$34</f>
        <v>Morrow</v>
      </c>
      <c r="C15" s="15">
        <f>VLOOKUP($B15,'County Data'!$B$10:$L$46,2,FALSE)</f>
        <v>11885</v>
      </c>
      <c r="D15" s="34">
        <f>VLOOKUP(B15,'County Data'!$B$10:$L$46,4,FALSE)</f>
        <v>6.4928429999999995E-2</v>
      </c>
      <c r="E15" s="31">
        <f t="shared" si="0"/>
        <v>771.67439055</v>
      </c>
      <c r="F15" s="6">
        <f t="shared" si="2"/>
        <v>2.8585846744136269E-3</v>
      </c>
      <c r="G15" s="14">
        <f t="shared" si="3"/>
        <v>203.91237344150534</v>
      </c>
      <c r="H15" s="10">
        <f t="shared" si="1"/>
        <v>1.7157120188599523E-2</v>
      </c>
      <c r="I15" s="22"/>
    </row>
    <row r="16" spans="2:11">
      <c r="B16" s="20" t="str">
        <f>'County Data'!$B$45</f>
        <v>Wheeler</v>
      </c>
      <c r="C16" s="15">
        <f>VLOOKUP($B16,'County Data'!$B$10:$L$46,2,FALSE)</f>
        <v>1450</v>
      </c>
      <c r="D16" s="34">
        <f>VLOOKUP(B16,'County Data'!$B$10:$L$46,4,FALSE)</f>
        <v>6.3521800000000003E-2</v>
      </c>
      <c r="E16" s="31">
        <f t="shared" si="0"/>
        <v>92.106610000000003</v>
      </c>
      <c r="F16" s="6">
        <f t="shared" si="2"/>
        <v>3.4119901733493252E-4</v>
      </c>
      <c r="G16" s="14">
        <f t="shared" si="3"/>
        <v>24.338863236558513</v>
      </c>
      <c r="H16" s="10">
        <f t="shared" si="1"/>
        <v>1.6785422921764492E-2</v>
      </c>
      <c r="I16" s="22"/>
    </row>
    <row r="17" spans="2:9">
      <c r="B17" s="20" t="str">
        <f>'County Data'!$B$33</f>
        <v>Marion</v>
      </c>
      <c r="C17" s="15">
        <f>VLOOKUP($B17,'County Data'!$B$10:$L$46,2,FALSE)</f>
        <v>344035</v>
      </c>
      <c r="D17" s="34">
        <f>VLOOKUP(B17,'County Data'!$B$10:$L$46,4,FALSE)</f>
        <v>6.2774990000000003E-2</v>
      </c>
      <c r="E17" s="31">
        <f t="shared" si="0"/>
        <v>21596.793684650002</v>
      </c>
      <c r="F17" s="6">
        <f t="shared" si="2"/>
        <v>8.0002996340738805E-2</v>
      </c>
      <c r="G17" s="14">
        <f t="shared" si="3"/>
        <v>5706.8804056393665</v>
      </c>
      <c r="H17" s="10">
        <f t="shared" si="1"/>
        <v>1.6588080880257434E-2</v>
      </c>
      <c r="I17" s="22"/>
    </row>
    <row r="18" spans="2:9">
      <c r="B18" s="20" t="str">
        <f>'County Data'!$B$35</f>
        <v>Multnomah</v>
      </c>
      <c r="C18" s="15">
        <f>VLOOKUP($B18,'County Data'!$B$10:$L$46,2,FALSE)</f>
        <v>813300</v>
      </c>
      <c r="D18" s="34">
        <f>VLOOKUP(B18,'County Data'!$B$10:$L$46,4,FALSE)</f>
        <v>6.3041220000000009E-2</v>
      </c>
      <c r="E18" s="31">
        <f t="shared" si="0"/>
        <v>51271.42422600001</v>
      </c>
      <c r="F18" s="6">
        <f t="shared" si="2"/>
        <v>0.18992946937547323</v>
      </c>
      <c r="G18" s="14">
        <f t="shared" si="3"/>
        <v>13548.302148783752</v>
      </c>
      <c r="H18" s="10">
        <f t="shared" si="1"/>
        <v>1.6658431266179458E-2</v>
      </c>
      <c r="I18" s="22"/>
    </row>
    <row r="19" spans="2:9">
      <c r="B19" s="20" t="str">
        <f>'County Data'!$B$29</f>
        <v>Lane</v>
      </c>
      <c r="C19" s="15">
        <f>VLOOKUP($B19,'County Data'!$B$10:$L$46,2,FALSE)</f>
        <v>375120</v>
      </c>
      <c r="D19" s="34">
        <f>VLOOKUP(B19,'County Data'!$B$10:$L$46,4,FALSE)</f>
        <v>6.7933170000000001E-2</v>
      </c>
      <c r="E19" s="31">
        <f t="shared" si="0"/>
        <v>25483.090730399999</v>
      </c>
      <c r="F19" s="6">
        <f t="shared" si="2"/>
        <v>9.4399365212435971E-2</v>
      </c>
      <c r="G19" s="14">
        <f t="shared" si="3"/>
        <v>6733.8213851537639</v>
      </c>
      <c r="H19" s="10">
        <f t="shared" si="1"/>
        <v>1.7951112671021976E-2</v>
      </c>
      <c r="I19" s="22"/>
    </row>
    <row r="20" spans="2:9">
      <c r="B20" s="20" t="str">
        <f>'County Data'!$B$41</f>
        <v>Union</v>
      </c>
      <c r="C20" s="15">
        <f>VLOOKUP($B20,'County Data'!$B$10:$L$46,2,FALSE)</f>
        <v>26885</v>
      </c>
      <c r="D20" s="34">
        <f>VLOOKUP(B20,'County Data'!$B$10:$L$46,4,FALSE)</f>
        <v>7.2840740000000001E-2</v>
      </c>
      <c r="E20" s="31">
        <f t="shared" si="0"/>
        <v>1958.3232949000001</v>
      </c>
      <c r="F20" s="6">
        <f t="shared" si="2"/>
        <v>7.2543977445699848E-3</v>
      </c>
      <c r="G20" s="14">
        <f t="shared" si="3"/>
        <v>517.48037244599209</v>
      </c>
      <c r="H20" s="10">
        <f t="shared" si="1"/>
        <v>1.9247921608554663E-2</v>
      </c>
      <c r="I20" s="22"/>
    </row>
    <row r="21" spans="2:9">
      <c r="B21" s="20" t="str">
        <f>'County Data'!$B$32</f>
        <v>Malheur</v>
      </c>
      <c r="C21" s="15">
        <f>VLOOKUP($B21,'County Data'!$B$10:$L$46,2,FALSE)</f>
        <v>31925</v>
      </c>
      <c r="D21" s="34">
        <f>VLOOKUP(B21,'County Data'!$B$10:$L$46,4,FALSE)</f>
        <v>7.2585949999999996E-2</v>
      </c>
      <c r="E21" s="31">
        <f t="shared" si="0"/>
        <v>2317.3064537499999</v>
      </c>
      <c r="F21" s="6">
        <f t="shared" si="2"/>
        <v>8.5842121958825453E-3</v>
      </c>
      <c r="G21" s="14">
        <f t="shared" si="3"/>
        <v>612.34046997295468</v>
      </c>
      <c r="H21" s="10">
        <f t="shared" si="1"/>
        <v>1.9180594204321211E-2</v>
      </c>
      <c r="I21" s="22"/>
    </row>
    <row r="22" spans="2:9">
      <c r="B22" s="20" t="str">
        <f>'County Data'!$B$31</f>
        <v>Linn</v>
      </c>
      <c r="C22" s="15">
        <f>VLOOKUP($B22,'County Data'!$B$10:$L$46,2,FALSE)</f>
        <v>125575</v>
      </c>
      <c r="D22" s="34">
        <f>VLOOKUP(B22,'County Data'!$B$10:$L$46,4,FALSE)</f>
        <v>7.2411760000000006E-2</v>
      </c>
      <c r="E22" s="31">
        <f t="shared" si="0"/>
        <v>9093.1067620000013</v>
      </c>
      <c r="F22" s="6">
        <f t="shared" si="2"/>
        <v>3.3684434718811496E-2</v>
      </c>
      <c r="G22" s="14">
        <f t="shared" si="3"/>
        <v>2402.8230099418861</v>
      </c>
      <c r="H22" s="10">
        <f t="shared" si="1"/>
        <v>1.9134565080166324E-2</v>
      </c>
      <c r="I22" s="22"/>
    </row>
    <row r="23" spans="2:9">
      <c r="B23" s="20" t="str">
        <f>'County Data'!$B$40</f>
        <v>Umatilla</v>
      </c>
      <c r="C23" s="15">
        <f>VLOOKUP($B23,'County Data'!$B$10:$L$46,2,FALSE)</f>
        <v>80765</v>
      </c>
      <c r="D23" s="34">
        <f>VLOOKUP(B23,'County Data'!$B$10:$L$46,4,FALSE)</f>
        <v>6.7694759999999993E-2</v>
      </c>
      <c r="E23" s="31">
        <f t="shared" si="0"/>
        <v>5467.367291399999</v>
      </c>
      <c r="F23" s="6">
        <f t="shared" si="2"/>
        <v>2.0253273323541394E-2</v>
      </c>
      <c r="G23" s="14">
        <f t="shared" si="3"/>
        <v>1444.7334970792856</v>
      </c>
      <c r="H23" s="10">
        <f t="shared" si="1"/>
        <v>1.788811362693352E-2</v>
      </c>
      <c r="I23" s="22"/>
    </row>
    <row r="24" spans="2:9">
      <c r="B24" s="20" t="str">
        <f>'County Data'!$B$24</f>
        <v>Jackson</v>
      </c>
      <c r="C24" s="15">
        <f>VLOOKUP($B24,'County Data'!$B$10:$L$46,2,FALSE)</f>
        <v>219200</v>
      </c>
      <c r="D24" s="34">
        <f>VLOOKUP(B24,'County Data'!$B$10:$L$46,4,FALSE)</f>
        <v>7.4869329999999998E-2</v>
      </c>
      <c r="E24" s="31">
        <f t="shared" si="0"/>
        <v>16411.357135999999</v>
      </c>
      <c r="F24" s="6">
        <f t="shared" si="2"/>
        <v>6.0794105091218006E-2</v>
      </c>
      <c r="G24" s="14">
        <f t="shared" si="3"/>
        <v>4336.6461631735501</v>
      </c>
      <c r="H24" s="10">
        <f t="shared" si="1"/>
        <v>1.978396972250707E-2</v>
      </c>
      <c r="I24" s="22"/>
    </row>
    <row r="25" spans="2:9">
      <c r="B25" s="20" t="str">
        <f>'County Data'!$B$16</f>
        <v>Crook</v>
      </c>
      <c r="C25" s="15">
        <f>VLOOKUP($B25,'County Data'!$B$10:$L$46,2,FALSE)</f>
        <v>22710</v>
      </c>
      <c r="D25" s="34">
        <f>VLOOKUP(B25,'County Data'!$B$10:$L$46,4,FALSE)</f>
        <v>7.9248739999999998E-2</v>
      </c>
      <c r="E25" s="31">
        <f t="shared" si="0"/>
        <v>1799.7388853999998</v>
      </c>
      <c r="F25" s="6">
        <f t="shared" si="2"/>
        <v>6.6669388783057656E-3</v>
      </c>
      <c r="G25" s="14">
        <f t="shared" si="3"/>
        <v>475.57497331914448</v>
      </c>
      <c r="H25" s="10">
        <f t="shared" si="1"/>
        <v>2.0941214148795441E-2</v>
      </c>
      <c r="I25" s="22"/>
    </row>
    <row r="26" spans="2:9">
      <c r="B26" s="20" t="str">
        <f>'County Data'!$B$14</f>
        <v>Columbia</v>
      </c>
      <c r="C26" s="15">
        <f>VLOOKUP($B26,'County Data'!$B$10:$L$46,2,FALSE)</f>
        <v>51900</v>
      </c>
      <c r="D26" s="34">
        <f>VLOOKUP(B26,'County Data'!$B$10:$L$46,4,FALSE)</f>
        <v>7.2065329999999997E-2</v>
      </c>
      <c r="E26" s="31">
        <f t="shared" si="0"/>
        <v>3740.1906269999999</v>
      </c>
      <c r="F26" s="6">
        <f t="shared" si="2"/>
        <v>1.3855133378350641E-2</v>
      </c>
      <c r="G26" s="14">
        <f t="shared" si="3"/>
        <v>988.33284765567885</v>
      </c>
      <c r="H26" s="10">
        <f t="shared" si="1"/>
        <v>1.9043022112826182E-2</v>
      </c>
      <c r="I26" s="22"/>
    </row>
    <row r="27" spans="2:9">
      <c r="B27" s="20" t="str">
        <f>'County Data'!$B$42</f>
        <v>Wallowa</v>
      </c>
      <c r="C27" s="15">
        <f>VLOOKUP($B27,'County Data'!$B$10:$L$46,2,FALSE)</f>
        <v>7175</v>
      </c>
      <c r="D27" s="34">
        <f>VLOOKUP(B27,'County Data'!$B$10:$L$46,4,FALSE)</f>
        <v>7.6918E-2</v>
      </c>
      <c r="E27" s="31">
        <f t="shared" si="0"/>
        <v>551.88665000000003</v>
      </c>
      <c r="F27" s="6">
        <f t="shared" si="2"/>
        <v>2.0444046595599146E-3</v>
      </c>
      <c r="G27" s="14">
        <f t="shared" si="3"/>
        <v>145.83419904860719</v>
      </c>
      <c r="H27" s="10">
        <f t="shared" si="1"/>
        <v>2.0325323909213544E-2</v>
      </c>
      <c r="I27" s="22"/>
    </row>
    <row r="28" spans="2:9">
      <c r="B28" s="20" t="str">
        <f>'County Data'!$B$39</f>
        <v>Tillamook</v>
      </c>
      <c r="C28" s="15">
        <f>VLOOKUP($B28,'County Data'!$B$10:$L$46,2,FALSE)</f>
        <v>26395</v>
      </c>
      <c r="D28" s="34">
        <f>VLOOKUP(B28,'County Data'!$B$10:$L$46,4,FALSE)</f>
        <v>8.0733680000000002E-2</v>
      </c>
      <c r="E28" s="31">
        <f t="shared" si="0"/>
        <v>2130.9654836</v>
      </c>
      <c r="F28" s="6">
        <f t="shared" si="2"/>
        <v>7.8939321399297963E-3</v>
      </c>
      <c r="G28" s="14">
        <f t="shared" si="3"/>
        <v>563.10049264832526</v>
      </c>
      <c r="H28" s="10">
        <f t="shared" si="1"/>
        <v>2.1333604570878018E-2</v>
      </c>
      <c r="I28" s="22"/>
    </row>
    <row r="29" spans="2:9">
      <c r="B29" s="20" t="str">
        <f>'County Data'!$B$28</f>
        <v>Lake</v>
      </c>
      <c r="C29" s="15">
        <f>VLOOKUP($B29,'County Data'!$B$10:$L$46,2,FALSE)</f>
        <v>8115</v>
      </c>
      <c r="D29" s="34">
        <f>VLOOKUP(B29,'County Data'!$B$10:$L$46,4,FALSE)</f>
        <v>8.4349279999999999E-2</v>
      </c>
      <c r="E29" s="31">
        <f t="shared" si="0"/>
        <v>684.49440719999996</v>
      </c>
      <c r="F29" s="6">
        <f t="shared" si="2"/>
        <v>2.5356358149311664E-3</v>
      </c>
      <c r="G29" s="14">
        <f t="shared" si="3"/>
        <v>180.87535479842316</v>
      </c>
      <c r="H29" s="10">
        <f t="shared" si="1"/>
        <v>2.2289014762590653E-2</v>
      </c>
      <c r="I29" s="22"/>
    </row>
    <row r="30" spans="2:9">
      <c r="B30" s="20" t="str">
        <f>'County Data'!$B$36</f>
        <v>Gilliam, Sherman, Wasco</v>
      </c>
      <c r="C30" s="15">
        <f>VLOOKUP($B30,'County Data'!$B$10:$L$46,2,FALSE)</f>
        <v>30970</v>
      </c>
      <c r="D30" s="34">
        <f>VLOOKUP(B30,'County Data'!$B$10:$L$46,4,FALSE)</f>
        <v>8.2111370000000003E-2</v>
      </c>
      <c r="E30" s="31">
        <f t="shared" si="0"/>
        <v>2542.9891289000002</v>
      </c>
      <c r="F30" s="6">
        <f t="shared" si="2"/>
        <v>9.4202293611076997E-3</v>
      </c>
      <c r="G30" s="14">
        <f t="shared" si="3"/>
        <v>671.97636109234907</v>
      </c>
      <c r="H30" s="10">
        <f t="shared" si="1"/>
        <v>2.1697654539630257E-2</v>
      </c>
      <c r="I30" s="22"/>
    </row>
    <row r="31" spans="2:9">
      <c r="B31" s="20" t="str">
        <f>'County Data'!$B$10</f>
        <v>Baker</v>
      </c>
      <c r="C31" s="15">
        <f>VLOOKUP($B31,'County Data'!$B$10:$L$46,2,FALSE)</f>
        <v>16765</v>
      </c>
      <c r="D31" s="34">
        <f>VLOOKUP(B31,'County Data'!$B$10:$L$46,4,FALSE)</f>
        <v>8.0970979999999998E-2</v>
      </c>
      <c r="E31" s="31">
        <f t="shared" si="0"/>
        <v>1357.4784797</v>
      </c>
      <c r="F31" s="6">
        <f t="shared" si="2"/>
        <v>5.028632834570267E-3</v>
      </c>
      <c r="G31" s="14">
        <f t="shared" si="3"/>
        <v>358.70914219934559</v>
      </c>
      <c r="H31" s="10">
        <f t="shared" si="1"/>
        <v>2.139631030118375E-2</v>
      </c>
      <c r="I31" s="22"/>
    </row>
    <row r="32" spans="2:9">
      <c r="B32" s="20" t="str">
        <f>'County Data'!$B$13</f>
        <v>Clatsop</v>
      </c>
      <c r="C32" s="15">
        <f>VLOOKUP($B32,'County Data'!$B$10:$L$46,2,FALSE)</f>
        <v>39200</v>
      </c>
      <c r="D32" s="34">
        <f>VLOOKUP(B32,'County Data'!$B$10:$L$46,4,FALSE)</f>
        <v>8.4602819999999995E-2</v>
      </c>
      <c r="E32" s="31">
        <f t="shared" si="0"/>
        <v>3316.4305439999998</v>
      </c>
      <c r="F32" s="6">
        <f t="shared" si="2"/>
        <v>1.2285359787667307E-2</v>
      </c>
      <c r="G32" s="14">
        <f t="shared" si="3"/>
        <v>876.35566485360107</v>
      </c>
      <c r="H32" s="10">
        <f t="shared" si="1"/>
        <v>2.235601185851023E-2</v>
      </c>
      <c r="I32" s="22"/>
    </row>
    <row r="33" spans="2:9">
      <c r="B33" s="20" t="str">
        <f>'County Data'!$B$26</f>
        <v>Josephine</v>
      </c>
      <c r="C33" s="15">
        <f>VLOOKUP($B33,'County Data'!$B$10:$L$46,2,FALSE)</f>
        <v>86395</v>
      </c>
      <c r="D33" s="34">
        <f>VLOOKUP(B33,'County Data'!$B$10:$L$46,4,FALSE)</f>
        <v>9.7062319999999994E-2</v>
      </c>
      <c r="E33" s="31">
        <f t="shared" si="0"/>
        <v>8385.6991363999987</v>
      </c>
      <c r="F33" s="6">
        <f t="shared" si="2"/>
        <v>3.1063919353953768E-2</v>
      </c>
      <c r="G33" s="14">
        <f t="shared" si="3"/>
        <v>2215.8929139153684</v>
      </c>
      <c r="H33" s="10">
        <f t="shared" si="1"/>
        <v>2.5648393007875088E-2</v>
      </c>
      <c r="I33" s="22"/>
    </row>
    <row r="34" spans="2:9">
      <c r="B34" s="20" t="str">
        <f>'County Data'!$B$19</f>
        <v>Douglas</v>
      </c>
      <c r="C34" s="15">
        <f>VLOOKUP($B34,'County Data'!$B$10:$L$46,2,FALSE)</f>
        <v>111735</v>
      </c>
      <c r="D34" s="34">
        <f>VLOOKUP(B34,'County Data'!$B$10:$L$46,4,FALSE)</f>
        <v>9.7688129999999998E-2</v>
      </c>
      <c r="E34" s="31">
        <f t="shared" si="0"/>
        <v>10915.18320555</v>
      </c>
      <c r="F34" s="6">
        <f t="shared" si="2"/>
        <v>4.0434120675643351E-2</v>
      </c>
      <c r="G34" s="14">
        <f t="shared" si="3"/>
        <v>2884.3006081958915</v>
      </c>
      <c r="H34" s="10">
        <f t="shared" si="1"/>
        <v>2.58137612045992E-2</v>
      </c>
      <c r="I34" s="22"/>
    </row>
    <row r="35" spans="2:9">
      <c r="B35" s="20" t="str">
        <f>'County Data'!$B$27</f>
        <v>Klamath</v>
      </c>
      <c r="C35" s="15">
        <f>VLOOKUP($B35,'County Data'!$B$10:$L$46,2,FALSE)</f>
        <v>67960</v>
      </c>
      <c r="D35" s="34">
        <f>VLOOKUP(B35,'County Data'!$B$10:$L$46,4,FALSE)</f>
        <v>9.2599109999999998E-2</v>
      </c>
      <c r="E35" s="31">
        <f t="shared" si="0"/>
        <v>6293.0355155999996</v>
      </c>
      <c r="F35" s="6">
        <f t="shared" si="2"/>
        <v>2.3311872339852158E-2</v>
      </c>
      <c r="G35" s="14">
        <f t="shared" si="3"/>
        <v>1662.9135602427868</v>
      </c>
      <c r="H35" s="10">
        <f t="shared" si="1"/>
        <v>2.4469004712224643E-2</v>
      </c>
      <c r="I35" s="22"/>
    </row>
    <row r="36" spans="2:9">
      <c r="B36" s="20" t="str">
        <f>'County Data'!$B$15</f>
        <v>Coos</v>
      </c>
      <c r="C36" s="15">
        <f>VLOOKUP($B36,'County Data'!$B$10:$L$46,2,FALSE)</f>
        <v>63275</v>
      </c>
      <c r="D36" s="34">
        <f>VLOOKUP(B36,'County Data'!$B$10:$L$46,4,FALSE)</f>
        <v>9.5954879999999992E-2</v>
      </c>
      <c r="E36" s="31">
        <f t="shared" si="0"/>
        <v>6071.5450319999991</v>
      </c>
      <c r="F36" s="6">
        <f t="shared" si="2"/>
        <v>2.2491384696746421E-2</v>
      </c>
      <c r="G36" s="14">
        <f t="shared" si="3"/>
        <v>1604.3854417012442</v>
      </c>
      <c r="H36" s="10">
        <f t="shared" si="1"/>
        <v>2.5355755696582286E-2</v>
      </c>
      <c r="I36" s="22"/>
    </row>
    <row r="37" spans="2:9">
      <c r="B37" s="20" t="str">
        <f>'County Data'!$B$30</f>
        <v>Lincoln</v>
      </c>
      <c r="C37" s="15">
        <f>VLOOKUP($B37,'County Data'!$B$10:$L$46,2,FALSE)</f>
        <v>48210</v>
      </c>
      <c r="D37" s="34">
        <f>VLOOKUP(B37,'County Data'!$B$10:$L$46,4,FALSE)</f>
        <v>9.8367700000000002E-2</v>
      </c>
      <c r="E37" s="31">
        <f t="shared" si="0"/>
        <v>4742.3068169999997</v>
      </c>
      <c r="F37" s="6">
        <f t="shared" si="2"/>
        <v>1.7567364881425462E-2</v>
      </c>
      <c r="G37" s="14">
        <f t="shared" si="3"/>
        <v>1253.138694875016</v>
      </c>
      <c r="H37" s="10">
        <f t="shared" si="1"/>
        <v>2.599333530128637E-2</v>
      </c>
      <c r="I37" s="22"/>
    </row>
    <row r="38" spans="2:9">
      <c r="B38" s="20" t="str">
        <f>'County Data'!$B$25</f>
        <v>Jefferson</v>
      </c>
      <c r="C38" s="15">
        <f>VLOOKUP($B38,'County Data'!$B$10:$L$46,2,FALSE)</f>
        <v>23560</v>
      </c>
      <c r="D38" s="34">
        <f>VLOOKUP(B38,'County Data'!$B$10:$L$46,4,FALSE)</f>
        <v>9.1418539999999993E-2</v>
      </c>
      <c r="E38" s="31">
        <f t="shared" si="0"/>
        <v>2153.8208024</v>
      </c>
      <c r="F38" s="6">
        <f t="shared" si="2"/>
        <v>7.9785972070236418E-3</v>
      </c>
      <c r="G38" s="14">
        <f t="shared" si="3"/>
        <v>569.13993410101966</v>
      </c>
      <c r="H38" s="10">
        <f t="shared" si="1"/>
        <v>2.4157043043336997E-2</v>
      </c>
      <c r="I38" s="22"/>
    </row>
    <row r="39" spans="2:9">
      <c r="B39" s="20" t="str">
        <f>'County Data'!$B$22</f>
        <v>Harney</v>
      </c>
      <c r="C39" s="15">
        <f>VLOOKUP($B39,'County Data'!$B$10:$L$46,2,FALSE)</f>
        <v>7380</v>
      </c>
      <c r="D39" s="34">
        <f>VLOOKUP(B39,'County Data'!$B$10:$L$46,4,FALSE)</f>
        <v>0.10640441999999999</v>
      </c>
      <c r="E39" s="31">
        <f t="shared" si="0"/>
        <v>785.26461959999995</v>
      </c>
      <c r="F39" s="6">
        <f t="shared" si="2"/>
        <v>2.9089282143313008E-3</v>
      </c>
      <c r="G39" s="14">
        <f t="shared" si="3"/>
        <v>207.50354595563275</v>
      </c>
      <c r="H39" s="10">
        <f t="shared" si="1"/>
        <v>2.8117011647104707E-2</v>
      </c>
      <c r="I39" s="22"/>
    </row>
    <row r="40" spans="2:9">
      <c r="B40" s="20" t="str">
        <f>'County Data'!$B$17</f>
        <v>Curry</v>
      </c>
      <c r="C40" s="15">
        <f>VLOOKUP($B40,'County Data'!$B$10:$L$46,2,FALSE)</f>
        <v>22915</v>
      </c>
      <c r="D40" s="34">
        <f>VLOOKUP(B40,'County Data'!$B$10:$L$46,4,FALSE)</f>
        <v>0.10897944</v>
      </c>
      <c r="E40" s="31">
        <f t="shared" si="0"/>
        <v>2497.2638676000001</v>
      </c>
      <c r="F40" s="6">
        <f t="shared" si="2"/>
        <v>9.2508450549982565E-3</v>
      </c>
      <c r="G40" s="14">
        <f t="shared" si="3"/>
        <v>659.89361392320882</v>
      </c>
      <c r="H40" s="10">
        <f t="shared" si="1"/>
        <v>2.8797452058617012E-2</v>
      </c>
      <c r="I40" s="22"/>
    </row>
    <row r="41" spans="2:9">
      <c r="B41" s="4" t="s">
        <v>2</v>
      </c>
      <c r="C41" s="5">
        <f>SUM(C6:C40)</f>
        <v>4195300</v>
      </c>
      <c r="D41" s="5">
        <f>SUM(D6:D40)</f>
        <v>2.5448189999999999</v>
      </c>
      <c r="E41" s="5">
        <f>SUM(E6:E40)</f>
        <v>269949.81028795004</v>
      </c>
      <c r="F41" s="8">
        <f>SUM(F6:F40)</f>
        <v>1</v>
      </c>
      <c r="G41" s="11">
        <f>SUM(G6:G40)</f>
        <v>71333.333333333328</v>
      </c>
      <c r="H41" s="12">
        <f>G41/C41</f>
        <v>1.7003154323488982E-2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7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12">
      <c r="B3" t="s">
        <v>0</v>
      </c>
      <c r="C3" s="1">
        <f>'County Data'!C5</f>
        <v>800000</v>
      </c>
    </row>
    <row r="4" spans="2:12">
      <c r="B4" t="s">
        <v>41</v>
      </c>
      <c r="C4" s="14">
        <f>'County Data'!F9</f>
        <v>71333.333333333314</v>
      </c>
      <c r="D4" s="9"/>
    </row>
    <row r="6" spans="2:12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>
      <c r="B7" s="20" t="str">
        <f>+'County Data'!$B$18</f>
        <v>Deschutes</v>
      </c>
      <c r="C7" s="15">
        <f>VLOOKUP($B7,'County Data'!$B$10:$L$46,2,FALSE)</f>
        <v>188980</v>
      </c>
      <c r="D7" s="29">
        <f>VLOOKUP($B7,'County Data'!$B$10:$L$46,5,FALSE)</f>
        <v>0.114</v>
      </c>
      <c r="E7" s="31">
        <f t="shared" ref="E7:E40" si="0">C7*D7</f>
        <v>21543.72</v>
      </c>
      <c r="F7" s="6">
        <f t="shared" ref="F7:F40" si="1">E7/$E$41</f>
        <v>3.0671562183442698E-2</v>
      </c>
      <c r="G7" s="14">
        <f t="shared" ref="G7:G40" si="2">$C$4*F7</f>
        <v>2187.9047690855787</v>
      </c>
      <c r="H7" s="10">
        <f t="shared" ref="H7:H40" si="3">G7/C7</f>
        <v>1.157744083546184E-2</v>
      </c>
      <c r="J7" s="189"/>
      <c r="K7" s="189"/>
      <c r="L7" s="22"/>
    </row>
    <row r="8" spans="2:12">
      <c r="B8" s="20" t="str">
        <f>+'County Data'!$B$42</f>
        <v>Wallowa</v>
      </c>
      <c r="C8" s="15">
        <f>VLOOKUP($B8,'County Data'!$B$10:$L$46,2,FALSE)</f>
        <v>7175</v>
      </c>
      <c r="D8" s="29">
        <f>VLOOKUP($B8,'County Data'!$B$10:$L$46,5,FALSE)</f>
        <v>0.123</v>
      </c>
      <c r="E8" s="31">
        <f t="shared" si="0"/>
        <v>882.52499999999998</v>
      </c>
      <c r="F8" s="6">
        <f t="shared" si="1"/>
        <v>1.2564413395617267E-3</v>
      </c>
      <c r="G8" s="14">
        <f t="shared" si="2"/>
        <v>89.626148888736481</v>
      </c>
      <c r="H8" s="10">
        <f t="shared" si="3"/>
        <v>1.2491449322471983E-2</v>
      </c>
      <c r="J8" s="189"/>
      <c r="K8" s="189"/>
      <c r="L8" s="22"/>
    </row>
    <row r="9" spans="2:12">
      <c r="B9" s="20" t="str">
        <f>+'County Data'!$B$28</f>
        <v>Lake</v>
      </c>
      <c r="C9" s="15">
        <f>VLOOKUP($B9,'County Data'!$B$10:$L$46,2,FALSE)</f>
        <v>8115</v>
      </c>
      <c r="D9" s="29">
        <f>VLOOKUP($B9,'County Data'!$B$10:$L$46,5,FALSE)</f>
        <v>0.13300000000000001</v>
      </c>
      <c r="E9" s="31">
        <f t="shared" si="0"/>
        <v>1079.2950000000001</v>
      </c>
      <c r="F9" s="6">
        <f t="shared" si="1"/>
        <v>1.5365806697626402E-3</v>
      </c>
      <c r="G9" s="14">
        <f t="shared" si="2"/>
        <v>109.60942110973497</v>
      </c>
      <c r="H9" s="10">
        <f t="shared" si="3"/>
        <v>1.3507014308038813E-2</v>
      </c>
      <c r="J9" s="189"/>
      <c r="K9" s="189"/>
      <c r="L9" s="22"/>
    </row>
    <row r="10" spans="2:12">
      <c r="B10" s="20" t="str">
        <f>+'County Data'!$B$44</f>
        <v>Washington</v>
      </c>
      <c r="C10" s="15">
        <f>VLOOKUP($B10,'County Data'!$B$10:$L$46,2,FALSE)</f>
        <v>606280</v>
      </c>
      <c r="D10" s="29">
        <f>VLOOKUP($B10,'County Data'!$B$10:$L$46,5,FALSE)</f>
        <v>0.13300000000000001</v>
      </c>
      <c r="E10" s="31">
        <f t="shared" si="0"/>
        <v>80635.240000000005</v>
      </c>
      <c r="F10" s="6">
        <f t="shared" si="1"/>
        <v>0.11479952291604356</v>
      </c>
      <c r="G10" s="14">
        <f t="shared" si="2"/>
        <v>8189.032634677772</v>
      </c>
      <c r="H10" s="10">
        <f t="shared" si="3"/>
        <v>1.3507014308038814E-2</v>
      </c>
      <c r="J10" s="189"/>
      <c r="K10" s="189"/>
      <c r="L10" s="22"/>
    </row>
    <row r="11" spans="2:12">
      <c r="B11" s="20" t="str">
        <f>+'County Data'!$B$10</f>
        <v>Baker</v>
      </c>
      <c r="C11" s="15">
        <f>VLOOKUP($B11,'County Data'!$B$10:$L$46,2,FALSE)</f>
        <v>16765</v>
      </c>
      <c r="D11" s="29">
        <f>VLOOKUP($B11,'County Data'!$B$10:$L$46,5,FALSE)</f>
        <v>0.13300000000000001</v>
      </c>
      <c r="E11" s="31">
        <f t="shared" si="0"/>
        <v>2229.7450000000003</v>
      </c>
      <c r="F11" s="6">
        <f t="shared" si="1"/>
        <v>3.1744639468355715E-3</v>
      </c>
      <c r="G11" s="14">
        <f t="shared" si="2"/>
        <v>226.44509487427069</v>
      </c>
      <c r="H11" s="10">
        <f t="shared" si="3"/>
        <v>1.3507014308038813E-2</v>
      </c>
      <c r="J11" s="189"/>
      <c r="K11" s="189"/>
      <c r="L11" s="22"/>
    </row>
    <row r="12" spans="2:12">
      <c r="B12" s="20" t="str">
        <f>+'County Data'!$B$11</f>
        <v>Benton</v>
      </c>
      <c r="C12" s="15">
        <f>VLOOKUP($B12,'County Data'!$B$10:$L$46,2,FALSE)</f>
        <v>93590</v>
      </c>
      <c r="D12" s="29">
        <f>VLOOKUP($B12,'County Data'!$B$10:$L$46,5,FALSE)</f>
        <v>0.14199999999999999</v>
      </c>
      <c r="E12" s="31">
        <f t="shared" si="0"/>
        <v>13289.779999999999</v>
      </c>
      <c r="F12" s="6">
        <f t="shared" si="1"/>
        <v>1.8920516683018206E-2</v>
      </c>
      <c r="G12" s="14">
        <f t="shared" si="2"/>
        <v>1349.6635233886316</v>
      </c>
      <c r="H12" s="10">
        <f t="shared" si="3"/>
        <v>1.4421022795048954E-2</v>
      </c>
      <c r="J12" s="189"/>
      <c r="K12" s="189"/>
      <c r="L12" s="22"/>
    </row>
    <row r="13" spans="2:12">
      <c r="B13" s="20" t="str">
        <f>+'County Data'!$B$41</f>
        <v>Union</v>
      </c>
      <c r="C13" s="15">
        <f>VLOOKUP($B13,'County Data'!$B$10:$L$46,2,FALSE)</f>
        <v>26885</v>
      </c>
      <c r="D13" s="29">
        <f>VLOOKUP($B13,'County Data'!$B$10:$L$46,5,FALSE)</f>
        <v>0.14399999999999999</v>
      </c>
      <c r="E13" s="31">
        <f t="shared" si="0"/>
        <v>3871.4399999999996</v>
      </c>
      <c r="F13" s="6">
        <f t="shared" si="1"/>
        <v>5.5117274407329546E-3</v>
      </c>
      <c r="G13" s="14">
        <f t="shared" si="2"/>
        <v>393.16989077228396</v>
      </c>
      <c r="H13" s="10">
        <f t="shared" si="3"/>
        <v>1.462413579216232E-2</v>
      </c>
      <c r="J13" s="189"/>
      <c r="K13" s="189"/>
      <c r="L13" s="22"/>
    </row>
    <row r="14" spans="2:12">
      <c r="B14" s="20" t="str">
        <f>+'County Data'!$B$37</f>
        <v>Polk</v>
      </c>
      <c r="C14" s="15">
        <f>VLOOKUP($B14,'County Data'!$B$10:$L$46,2,FALSE)</f>
        <v>82100</v>
      </c>
      <c r="D14" s="29">
        <f>VLOOKUP($B14,'County Data'!$B$10:$L$46,5,FALSE)</f>
        <v>0.14499999999999999</v>
      </c>
      <c r="E14" s="31">
        <f t="shared" si="0"/>
        <v>11904.5</v>
      </c>
      <c r="F14" s="6">
        <f t="shared" si="1"/>
        <v>1.6948308463570524E-2</v>
      </c>
      <c r="G14" s="14">
        <f t="shared" si="2"/>
        <v>1208.9793370680304</v>
      </c>
      <c r="H14" s="10">
        <f t="shared" si="3"/>
        <v>1.4725692290719006E-2</v>
      </c>
      <c r="J14" s="189"/>
      <c r="K14" s="189"/>
      <c r="L14" s="22"/>
    </row>
    <row r="15" spans="2:12">
      <c r="B15" s="20" t="str">
        <f>+'County Data'!$B$12</f>
        <v>Clackamas</v>
      </c>
      <c r="C15" s="15">
        <f>VLOOKUP($B15,'County Data'!$B$10:$L$46,2,FALSE)</f>
        <v>419425</v>
      </c>
      <c r="D15" s="29">
        <f>VLOOKUP($B15,'County Data'!$B$10:$L$46,5,FALSE)</f>
        <v>0.14699999999999999</v>
      </c>
      <c r="E15" s="31">
        <f t="shared" si="0"/>
        <v>61655.474999999999</v>
      </c>
      <c r="F15" s="6">
        <f t="shared" si="1"/>
        <v>8.7778235857697576E-2</v>
      </c>
      <c r="G15" s="14">
        <f t="shared" si="2"/>
        <v>6261.514157849092</v>
      </c>
      <c r="H15" s="10">
        <f t="shared" si="3"/>
        <v>1.4928805287832371E-2</v>
      </c>
      <c r="J15" s="189"/>
      <c r="K15" s="189"/>
      <c r="L15" s="22"/>
    </row>
    <row r="16" spans="2:12">
      <c r="B16" s="20" t="str">
        <f>+'County Data'!$B$13</f>
        <v>Clatsop</v>
      </c>
      <c r="C16" s="15">
        <f>VLOOKUP($B16,'County Data'!$B$10:$L$46,2,FALSE)</f>
        <v>39200</v>
      </c>
      <c r="D16" s="29">
        <f>VLOOKUP($B16,'County Data'!$B$10:$L$46,5,FALSE)</f>
        <v>0.155</v>
      </c>
      <c r="E16" s="31">
        <f t="shared" si="0"/>
        <v>6076</v>
      </c>
      <c r="F16" s="6">
        <f t="shared" si="1"/>
        <v>8.6503357742580122E-3</v>
      </c>
      <c r="G16" s="14">
        <f t="shared" si="2"/>
        <v>617.05728523040466</v>
      </c>
      <c r="H16" s="10">
        <f t="shared" si="3"/>
        <v>1.5741257276285833E-2</v>
      </c>
      <c r="J16" s="189"/>
      <c r="K16" s="189"/>
      <c r="L16" s="22"/>
    </row>
    <row r="17" spans="2:12">
      <c r="B17" s="20" t="str">
        <f>+'County Data'!$B$36</f>
        <v>Gilliam, Sherman, Wasco</v>
      </c>
      <c r="C17" s="15">
        <f>VLOOKUP($B17,'County Data'!$B$10:$L$46,2,FALSE)</f>
        <v>30970</v>
      </c>
      <c r="D17" s="29">
        <f>VLOOKUP($B17,'County Data'!$B$10:$L$46,5,FALSE)</f>
        <v>0.157</v>
      </c>
      <c r="E17" s="31">
        <f t="shared" si="0"/>
        <v>4862.29</v>
      </c>
      <c r="F17" s="6">
        <f t="shared" si="1"/>
        <v>6.9223899163622432E-3</v>
      </c>
      <c r="G17" s="14">
        <f t="shared" si="2"/>
        <v>493.79714736717324</v>
      </c>
      <c r="H17" s="10">
        <f t="shared" si="3"/>
        <v>1.5944370273399202E-2</v>
      </c>
      <c r="J17" s="189"/>
      <c r="K17" s="189"/>
      <c r="L17" s="22"/>
    </row>
    <row r="18" spans="2:12">
      <c r="B18" s="20" t="str">
        <f>+'County Data'!$B$29</f>
        <v>Lane</v>
      </c>
      <c r="C18" s="15">
        <f>VLOOKUP($B18,'County Data'!$B$10:$L$46,2,FALSE)</f>
        <v>375120</v>
      </c>
      <c r="D18" s="29">
        <f>VLOOKUP($B18,'County Data'!$B$10:$L$46,5,FALSE)</f>
        <v>0.161</v>
      </c>
      <c r="E18" s="31">
        <f t="shared" si="0"/>
        <v>60394.32</v>
      </c>
      <c r="F18" s="6">
        <f t="shared" si="1"/>
        <v>8.5982743064184686E-2</v>
      </c>
      <c r="G18" s="14">
        <f t="shared" si="2"/>
        <v>6133.4356719118396</v>
      </c>
      <c r="H18" s="10">
        <f t="shared" si="3"/>
        <v>1.635059626762593E-2</v>
      </c>
      <c r="J18" s="189"/>
      <c r="K18" s="189"/>
      <c r="L18" s="22"/>
    </row>
    <row r="19" spans="2:12">
      <c r="B19" s="20" t="str">
        <f>+'County Data'!$B$35</f>
        <v>Multnomah</v>
      </c>
      <c r="C19" s="15">
        <f>VLOOKUP($B19,'County Data'!$B$10:$L$46,2,FALSE)</f>
        <v>813300</v>
      </c>
      <c r="D19" s="29">
        <f>VLOOKUP($B19,'County Data'!$B$10:$L$46,5,FALSE)</f>
        <v>0.16200000000000001</v>
      </c>
      <c r="E19" s="31">
        <f t="shared" si="0"/>
        <v>131754.6</v>
      </c>
      <c r="F19" s="6">
        <f t="shared" si="1"/>
        <v>0.18757760530004192</v>
      </c>
      <c r="G19" s="14">
        <f t="shared" si="2"/>
        <v>13380.53584473632</v>
      </c>
      <c r="H19" s="10">
        <f t="shared" si="3"/>
        <v>1.6452152766182615E-2</v>
      </c>
      <c r="J19" s="189"/>
      <c r="K19" s="189"/>
      <c r="L19" s="22"/>
    </row>
    <row r="20" spans="2:12">
      <c r="B20" s="20" t="str">
        <f>+'County Data'!$B$21</f>
        <v>Grant</v>
      </c>
      <c r="C20" s="15">
        <f>VLOOKUP($B20,'County Data'!$B$10:$L$46,2,FALSE)</f>
        <v>7400</v>
      </c>
      <c r="D20" s="29">
        <f>VLOOKUP($B20,'County Data'!$B$10:$L$46,5,FALSE)</f>
        <v>0.184</v>
      </c>
      <c r="E20" s="31">
        <f t="shared" si="0"/>
        <v>1361.6</v>
      </c>
      <c r="F20" s="6">
        <f t="shared" si="1"/>
        <v>1.9384952584314858E-3</v>
      </c>
      <c r="G20" s="14">
        <f t="shared" si="2"/>
        <v>138.27932843477927</v>
      </c>
      <c r="H20" s="10">
        <f t="shared" si="3"/>
        <v>1.8686395734429633E-2</v>
      </c>
      <c r="J20" s="189"/>
      <c r="K20" s="189"/>
      <c r="L20" s="22"/>
    </row>
    <row r="21" spans="2:12">
      <c r="B21" s="20" t="str">
        <f>+'County Data'!$B$24</f>
        <v>Jackson</v>
      </c>
      <c r="C21" s="15">
        <f>VLOOKUP($B21,'County Data'!$B$10:$L$46,2,FALSE)</f>
        <v>219200</v>
      </c>
      <c r="D21" s="29">
        <f>VLOOKUP($B21,'County Data'!$B$10:$L$46,5,FALSE)</f>
        <v>0.184</v>
      </c>
      <c r="E21" s="31">
        <f t="shared" si="0"/>
        <v>40332.800000000003</v>
      </c>
      <c r="F21" s="6">
        <f t="shared" si="1"/>
        <v>5.7421373060565106E-2</v>
      </c>
      <c r="G21" s="14">
        <f t="shared" si="2"/>
        <v>4096.0579449869765</v>
      </c>
      <c r="H21" s="10">
        <f t="shared" si="3"/>
        <v>1.8686395734429637E-2</v>
      </c>
      <c r="J21" s="189"/>
      <c r="K21" s="189"/>
      <c r="L21" s="22"/>
    </row>
    <row r="22" spans="2:12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Data'!$B$10:$L$46,5,FALSE)</f>
        <v>0.189</v>
      </c>
      <c r="E22" s="31">
        <f t="shared" si="0"/>
        <v>23733.674999999999</v>
      </c>
      <c r="F22" s="6">
        <f t="shared" si="1"/>
        <v>3.3789377535732884E-2</v>
      </c>
      <c r="G22" s="14">
        <f t="shared" si="2"/>
        <v>2410.3089308822782</v>
      </c>
      <c r="H22" s="10">
        <f t="shared" si="3"/>
        <v>1.9194178227213046E-2</v>
      </c>
      <c r="J22" s="189"/>
      <c r="K22" s="189"/>
      <c r="L22" s="22"/>
    </row>
    <row r="23" spans="2:12">
      <c r="B23" s="20" t="str">
        <f>+'County Data'!$B$25</f>
        <v>Jefferson</v>
      </c>
      <c r="C23" s="15">
        <f>VLOOKUP($B23,'County Data'!$B$10:$L$46,2,FALSE)</f>
        <v>23560</v>
      </c>
      <c r="D23" s="29">
        <f>VLOOKUP($B23,'County Data'!$B$10:$L$46,5,FALSE)</f>
        <v>0.189</v>
      </c>
      <c r="E23" s="31">
        <f t="shared" si="0"/>
        <v>4452.84</v>
      </c>
      <c r="F23" s="6">
        <f t="shared" si="1"/>
        <v>6.3394603602776574E-3</v>
      </c>
      <c r="G23" s="14">
        <f t="shared" si="2"/>
        <v>452.21483903313941</v>
      </c>
      <c r="H23" s="10">
        <f t="shared" si="3"/>
        <v>1.919417822721305E-2</v>
      </c>
      <c r="J23" s="189"/>
      <c r="K23" s="189"/>
      <c r="L23" s="22"/>
    </row>
    <row r="24" spans="2:12">
      <c r="B24" s="20" t="str">
        <f>+'County Data'!$B$46</f>
        <v>Yamhill</v>
      </c>
      <c r="C24" s="15">
        <f>VLOOKUP($B24,'County Data'!$B$10:$L$46,2,FALSE)</f>
        <v>107415</v>
      </c>
      <c r="D24" s="29">
        <f>VLOOKUP($B24,'County Data'!$B$10:$L$46,5,FALSE)</f>
        <v>0.191</v>
      </c>
      <c r="E24" s="31">
        <f t="shared" si="0"/>
        <v>20516.264999999999</v>
      </c>
      <c r="F24" s="6">
        <f t="shared" si="1"/>
        <v>2.9208785563472277E-2</v>
      </c>
      <c r="G24" s="14">
        <f t="shared" si="2"/>
        <v>2083.5600368610217</v>
      </c>
      <c r="H24" s="10">
        <f t="shared" si="3"/>
        <v>1.9397291224326412E-2</v>
      </c>
      <c r="J24" s="189"/>
      <c r="K24" s="189"/>
      <c r="L24" s="22"/>
    </row>
    <row r="25" spans="2:12">
      <c r="B25" s="20" t="str">
        <f>+'County Data'!$B$26</f>
        <v>Josephine</v>
      </c>
      <c r="C25" s="15">
        <f>VLOOKUP($B25,'County Data'!$B$10:$L$46,2,FALSE)</f>
        <v>86395</v>
      </c>
      <c r="D25" s="29">
        <f>VLOOKUP($B25,'County Data'!$B$10:$L$46,5,FALSE)</f>
        <v>0.191</v>
      </c>
      <c r="E25" s="31">
        <f t="shared" si="0"/>
        <v>16501.445</v>
      </c>
      <c r="F25" s="6">
        <f t="shared" si="1"/>
        <v>2.3492929560640387E-2</v>
      </c>
      <c r="G25" s="14">
        <f t="shared" si="2"/>
        <v>1675.8289753256806</v>
      </c>
      <c r="H25" s="10">
        <f t="shared" si="3"/>
        <v>1.9397291224326416E-2</v>
      </c>
      <c r="J25" s="189"/>
      <c r="K25" s="189"/>
      <c r="L25" s="22"/>
    </row>
    <row r="26" spans="2:12">
      <c r="B26" s="20" t="str">
        <f>+'County Data'!$B$14</f>
        <v>Columbia</v>
      </c>
      <c r="C26" s="15">
        <f>VLOOKUP($B26,'County Data'!$B$10:$L$46,2,FALSE)</f>
        <v>51900</v>
      </c>
      <c r="D26" s="29">
        <f>VLOOKUP($B26,'County Data'!$B$10:$L$46,5,FALSE)</f>
        <v>0.193</v>
      </c>
      <c r="E26" s="31">
        <f t="shared" si="0"/>
        <v>10016.700000000001</v>
      </c>
      <c r="F26" s="6">
        <f t="shared" si="1"/>
        <v>1.4260667931206424E-2</v>
      </c>
      <c r="G26" s="14">
        <f t="shared" si="2"/>
        <v>1017.2609790927246</v>
      </c>
      <c r="H26" s="10">
        <f t="shared" si="3"/>
        <v>1.9600404221439782E-2</v>
      </c>
      <c r="J26" s="189"/>
      <c r="K26" s="189"/>
      <c r="L26" s="22"/>
    </row>
    <row r="27" spans="2:12">
      <c r="B27" s="20" t="str">
        <f>+'County Data'!$B$39</f>
        <v>Tillamook</v>
      </c>
      <c r="C27" s="15">
        <f>VLOOKUP($B27,'County Data'!$B$10:$L$46,2,FALSE)</f>
        <v>26395</v>
      </c>
      <c r="D27" s="29">
        <f>VLOOKUP($B27,'County Data'!$B$10:$L$46,5,FALSE)</f>
        <v>0.19400000000000001</v>
      </c>
      <c r="E27" s="31">
        <f t="shared" si="0"/>
        <v>5120.63</v>
      </c>
      <c r="F27" s="6">
        <f t="shared" si="1"/>
        <v>7.2901857925837402E-3</v>
      </c>
      <c r="G27" s="14">
        <f t="shared" si="2"/>
        <v>520.03325320430667</v>
      </c>
      <c r="H27" s="10">
        <f t="shared" si="3"/>
        <v>1.9701960719996463E-2</v>
      </c>
      <c r="J27" s="189"/>
      <c r="K27" s="189"/>
      <c r="L27" s="22"/>
    </row>
    <row r="28" spans="2:12">
      <c r="B28" s="20" t="str">
        <f>+'County Data'!$B$33</f>
        <v>Marion</v>
      </c>
      <c r="C28" s="15">
        <f>VLOOKUP($B28,'County Data'!$B$10:$L$46,2,FALSE)</f>
        <v>344035</v>
      </c>
      <c r="D28" s="29">
        <f>VLOOKUP($B28,'County Data'!$B$10:$L$46,5,FALSE)</f>
        <v>0.19600000000000001</v>
      </c>
      <c r="E28" s="31">
        <f t="shared" si="0"/>
        <v>67430.86</v>
      </c>
      <c r="F28" s="6">
        <f t="shared" si="1"/>
        <v>9.6000589293446945E-2</v>
      </c>
      <c r="G28" s="14">
        <f t="shared" si="2"/>
        <v>6848.0420362658806</v>
      </c>
      <c r="H28" s="10">
        <f t="shared" si="3"/>
        <v>1.9905073717109832E-2</v>
      </c>
      <c r="J28" s="189"/>
      <c r="K28" s="189"/>
      <c r="L28" s="22"/>
    </row>
    <row r="29" spans="2:12">
      <c r="B29" s="20" t="str">
        <f>+'County Data'!$B$23</f>
        <v>Hood River</v>
      </c>
      <c r="C29" s="15">
        <f>VLOOKUP($B29,'County Data'!$B$10:$L$46,2,FALSE)</f>
        <v>25310</v>
      </c>
      <c r="D29" s="29">
        <f>VLOOKUP($B29,'County Data'!$B$10:$L$46,5,FALSE)</f>
        <v>0.19800000000000001</v>
      </c>
      <c r="E29" s="31">
        <f t="shared" si="0"/>
        <v>5011.38</v>
      </c>
      <c r="F29" s="6">
        <f t="shared" si="1"/>
        <v>7.1346477439764838E-3</v>
      </c>
      <c r="G29" s="14">
        <f t="shared" si="2"/>
        <v>508.93820573698906</v>
      </c>
      <c r="H29" s="10">
        <f t="shared" si="3"/>
        <v>2.0108186714223195E-2</v>
      </c>
      <c r="J29" s="189"/>
      <c r="K29" s="189"/>
      <c r="L29" s="22"/>
    </row>
    <row r="30" spans="2:12">
      <c r="B30" s="20" t="str">
        <f>+'County Data'!$B$30</f>
        <v>Lincoln</v>
      </c>
      <c r="C30" s="15">
        <f>VLOOKUP($B30,'County Data'!$B$10:$L$46,2,FALSE)</f>
        <v>48210</v>
      </c>
      <c r="D30" s="29">
        <f>VLOOKUP($B30,'County Data'!$B$10:$L$46,5,FALSE)</f>
        <v>0.20599999999999999</v>
      </c>
      <c r="E30" s="31">
        <f t="shared" si="0"/>
        <v>9931.26</v>
      </c>
      <c r="F30" s="6">
        <f t="shared" si="1"/>
        <v>1.4139027923215541E-2</v>
      </c>
      <c r="G30" s="14">
        <f t="shared" si="2"/>
        <v>1008.5839918560416</v>
      </c>
      <c r="H30" s="10">
        <f t="shared" si="3"/>
        <v>2.0920638702676658E-2</v>
      </c>
      <c r="J30" s="189"/>
      <c r="K30" s="189"/>
      <c r="L30" s="22"/>
    </row>
    <row r="31" spans="2:12">
      <c r="B31" s="20" t="str">
        <f>+'County Data'!$B$27</f>
        <v>Klamath</v>
      </c>
      <c r="C31" s="15">
        <f>VLOOKUP($B31,'County Data'!$B$10:$L$46,2,FALSE)</f>
        <v>67960</v>
      </c>
      <c r="D31" s="29">
        <f>VLOOKUP($B31,'County Data'!$B$10:$L$46,5,FALSE)</f>
        <v>0.215</v>
      </c>
      <c r="E31" s="31">
        <f t="shared" si="0"/>
        <v>14611.4</v>
      </c>
      <c r="F31" s="6">
        <f t="shared" si="1"/>
        <v>2.0802092845950217E-2</v>
      </c>
      <c r="G31" s="14">
        <f t="shared" si="2"/>
        <v>1483.8826230111151</v>
      </c>
      <c r="H31" s="10">
        <f t="shared" si="3"/>
        <v>2.1834647189686803E-2</v>
      </c>
      <c r="J31" s="189"/>
      <c r="K31" s="189"/>
      <c r="L31" s="22"/>
    </row>
    <row r="32" spans="2:12">
      <c r="B32" s="20" t="str">
        <f>+'County Data'!$B$15</f>
        <v>Coos</v>
      </c>
      <c r="C32" s="15">
        <f>VLOOKUP($B32,'County Data'!$B$10:$L$46,2,FALSE)</f>
        <v>63275</v>
      </c>
      <c r="D32" s="29">
        <f>VLOOKUP($B32,'County Data'!$B$10:$L$46,5,FALSE)</f>
        <v>0.22</v>
      </c>
      <c r="E32" s="31">
        <f t="shared" si="0"/>
        <v>13920.5</v>
      </c>
      <c r="F32" s="6">
        <f t="shared" si="1"/>
        <v>1.9818465955490232E-2</v>
      </c>
      <c r="G32" s="14">
        <f t="shared" si="2"/>
        <v>1413.717238158303</v>
      </c>
      <c r="H32" s="10">
        <f t="shared" si="3"/>
        <v>2.2342429682470216E-2</v>
      </c>
      <c r="J32" s="189"/>
      <c r="K32" s="189"/>
      <c r="L32" s="22"/>
    </row>
    <row r="33" spans="2:12">
      <c r="B33" s="20" t="str">
        <f>+'County Data'!$B$40</f>
        <v>Umatilla</v>
      </c>
      <c r="C33" s="15">
        <f>VLOOKUP($B33,'County Data'!$B$10:$L$46,2,FALSE)</f>
        <v>80765</v>
      </c>
      <c r="D33" s="29">
        <f>VLOOKUP($B33,'County Data'!$B$10:$L$46,5,FALSE)</f>
        <v>0.22</v>
      </c>
      <c r="E33" s="31">
        <f t="shared" si="0"/>
        <v>17768.3</v>
      </c>
      <c r="F33" s="6">
        <f t="shared" si="1"/>
        <v>2.529653738277627E-2</v>
      </c>
      <c r="G33" s="14">
        <f t="shared" si="2"/>
        <v>1804.4863333047067</v>
      </c>
      <c r="H33" s="10">
        <f t="shared" si="3"/>
        <v>2.2342429682470213E-2</v>
      </c>
      <c r="J33" s="189"/>
      <c r="K33" s="189"/>
      <c r="L33" s="22"/>
    </row>
    <row r="34" spans="2:12">
      <c r="B34" s="20" t="str">
        <f>+'County Data'!$B$19</f>
        <v>Douglas</v>
      </c>
      <c r="C34" s="15">
        <f>VLOOKUP($B34,'County Data'!$B$10:$L$46,2,FALSE)</f>
        <v>111735</v>
      </c>
      <c r="D34" s="29">
        <f>VLOOKUP($B34,'County Data'!$B$10:$L$46,5,FALSE)</f>
        <v>0.23400000000000001</v>
      </c>
      <c r="E34" s="31">
        <f t="shared" si="0"/>
        <v>26145.99</v>
      </c>
      <c r="F34" s="6">
        <f t="shared" si="1"/>
        <v>3.722376442567351E-2</v>
      </c>
      <c r="G34" s="14">
        <f t="shared" si="2"/>
        <v>2655.2951956980428</v>
      </c>
      <c r="H34" s="10">
        <f t="shared" si="3"/>
        <v>2.3764220662263774E-2</v>
      </c>
      <c r="J34" s="189"/>
      <c r="K34" s="189"/>
      <c r="L34" s="22"/>
    </row>
    <row r="35" spans="2:12">
      <c r="B35" s="20" t="str">
        <f>+'County Data'!$B$17</f>
        <v>Curry</v>
      </c>
      <c r="C35" s="15">
        <f>VLOOKUP($B35,'County Data'!$B$10:$L$46,2,FALSE)</f>
        <v>22915</v>
      </c>
      <c r="D35" s="29">
        <f>VLOOKUP($B35,'County Data'!$B$10:$L$46,5,FALSE)</f>
        <v>0.23699999999999999</v>
      </c>
      <c r="E35" s="31">
        <f t="shared" si="0"/>
        <v>5430.8549999999996</v>
      </c>
      <c r="F35" s="6">
        <f t="shared" si="1"/>
        <v>7.7318497846129014E-3</v>
      </c>
      <c r="G35" s="14">
        <f t="shared" si="2"/>
        <v>551.53861796905346</v>
      </c>
      <c r="H35" s="10">
        <f t="shared" si="3"/>
        <v>2.4068890157933818E-2</v>
      </c>
      <c r="J35" s="189"/>
      <c r="K35" s="189"/>
      <c r="L35" s="22"/>
    </row>
    <row r="36" spans="2:12">
      <c r="B36" s="20" t="str">
        <f>+'County Data'!$B$16</f>
        <v>Crook</v>
      </c>
      <c r="C36" s="15">
        <f>VLOOKUP($B36,'County Data'!$B$10:$L$46,2,FALSE)</f>
        <v>22710</v>
      </c>
      <c r="D36" s="29">
        <f>VLOOKUP($B36,'County Data'!$B$10:$L$46,5,FALSE)</f>
        <v>0.23799999999999999</v>
      </c>
      <c r="E36" s="31">
        <f t="shared" si="0"/>
        <v>5404.98</v>
      </c>
      <c r="F36" s="6">
        <f t="shared" si="1"/>
        <v>7.6950118257322359E-3</v>
      </c>
      <c r="G36" s="14">
        <f t="shared" si="2"/>
        <v>548.91084356889939</v>
      </c>
      <c r="H36" s="10">
        <f t="shared" si="3"/>
        <v>2.4170446656490506E-2</v>
      </c>
      <c r="J36" s="189"/>
      <c r="K36" s="189"/>
      <c r="L36" s="22"/>
    </row>
    <row r="37" spans="2:12">
      <c r="B37" s="20" t="str">
        <f>+'County Data'!$B$34</f>
        <v>Morrow</v>
      </c>
      <c r="C37" s="15">
        <f>VLOOKUP($B37,'County Data'!$B$10:$L$46,2,FALSE)</f>
        <v>11885</v>
      </c>
      <c r="D37" s="29">
        <f>VLOOKUP($B37,'County Data'!$B$10:$L$46,5,FALSE)</f>
        <v>0.249</v>
      </c>
      <c r="E37" s="31">
        <f t="shared" si="0"/>
        <v>2959.3649999999998</v>
      </c>
      <c r="F37" s="6">
        <f t="shared" si="1"/>
        <v>4.2132160843625834E-3</v>
      </c>
      <c r="G37" s="14">
        <f t="shared" si="2"/>
        <v>300.54274735119753</v>
      </c>
      <c r="H37" s="10">
        <f t="shared" si="3"/>
        <v>2.5287568140614013E-2</v>
      </c>
      <c r="J37" s="189"/>
      <c r="K37" s="189"/>
      <c r="L37" s="22"/>
    </row>
    <row r="38" spans="2:12">
      <c r="B38" s="20" t="str">
        <f>+'County Data'!$B$22</f>
        <v>Harney</v>
      </c>
      <c r="C38" s="15">
        <f>VLOOKUP($B38,'County Data'!$B$10:$L$46,2,FALSE)</f>
        <v>7380</v>
      </c>
      <c r="D38" s="29">
        <f>VLOOKUP($B38,'County Data'!$B$10:$L$46,5,FALSE)</f>
        <v>0.26600000000000001</v>
      </c>
      <c r="E38" s="31">
        <f t="shared" si="0"/>
        <v>1963.0800000000002</v>
      </c>
      <c r="F38" s="6">
        <f t="shared" si="1"/>
        <v>2.7948158577568169E-3</v>
      </c>
      <c r="G38" s="14">
        <f t="shared" si="2"/>
        <v>199.36353118665289</v>
      </c>
      <c r="H38" s="10">
        <f t="shared" si="3"/>
        <v>2.7014028616077629E-2</v>
      </c>
      <c r="J38" s="189"/>
      <c r="K38" s="189"/>
      <c r="L38" s="22"/>
    </row>
    <row r="39" spans="2:12">
      <c r="B39" s="20" t="str">
        <f>+'County Data'!$B$32</f>
        <v>Malheur</v>
      </c>
      <c r="C39" s="15">
        <f>VLOOKUP($B39,'County Data'!$B$10:$L$46,2,FALSE)</f>
        <v>31925</v>
      </c>
      <c r="D39" s="29">
        <f>VLOOKUP($B39,'County Data'!$B$10:$L$46,5,FALSE)</f>
        <v>0.28699999999999998</v>
      </c>
      <c r="E39" s="31">
        <f t="shared" si="0"/>
        <v>9162.4749999999985</v>
      </c>
      <c r="F39" s="6">
        <f t="shared" si="1"/>
        <v>1.3044516996913211E-2</v>
      </c>
      <c r="G39" s="14">
        <f t="shared" si="2"/>
        <v>930.50887911314214</v>
      </c>
      <c r="H39" s="10">
        <f t="shared" si="3"/>
        <v>2.9146715085767962E-2</v>
      </c>
      <c r="J39" s="189"/>
      <c r="K39" s="189"/>
      <c r="L39" s="22"/>
    </row>
    <row r="40" spans="2:12">
      <c r="B40" s="20" t="str">
        <f>'County Data'!$B$45</f>
        <v>Wheeler</v>
      </c>
      <c r="C40" s="15">
        <f>VLOOKUP($B40,'County Data'!$B$10:$L$46,2,FALSE)</f>
        <v>1450</v>
      </c>
      <c r="D40" s="29">
        <f>VLOOKUP($B40,'County Data'!$B$10:$L$46,5,FALSE)</f>
        <v>0.307</v>
      </c>
      <c r="E40" s="31">
        <f t="shared" si="0"/>
        <v>445.15</v>
      </c>
      <c r="F40" s="6">
        <f t="shared" si="1"/>
        <v>6.3375526167066393E-4</v>
      </c>
      <c r="G40" s="14">
        <f t="shared" si="2"/>
        <v>45.207875332507349</v>
      </c>
      <c r="H40" s="10">
        <f t="shared" si="3"/>
        <v>3.1177845056901621E-2</v>
      </c>
      <c r="J40" s="189"/>
      <c r="K40" s="189"/>
      <c r="L40" s="22"/>
    </row>
    <row r="41" spans="2:12">
      <c r="B41" s="4" t="s">
        <v>2</v>
      </c>
      <c r="C41" s="5">
        <f>SUM(C6:C40)</f>
        <v>4195300</v>
      </c>
      <c r="D41" s="5">
        <f>SUM(D6:D40)</f>
        <v>6.4369999999999994</v>
      </c>
      <c r="E41" s="5">
        <f>SUM(E6:E40)</f>
        <v>702400.4800000001</v>
      </c>
      <c r="F41" s="8">
        <f>SUM(F6:F40)</f>
        <v>0.99999999999999989</v>
      </c>
      <c r="G41" s="11">
        <f>SUM(G6:G40)</f>
        <v>71333.333333333299</v>
      </c>
      <c r="H41" s="12">
        <f>G41/C41</f>
        <v>1.7003154323488975E-2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6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8">
      <c r="B3" t="s">
        <v>0</v>
      </c>
      <c r="C3" s="1">
        <f>'County Data'!C5</f>
        <v>800000</v>
      </c>
    </row>
    <row r="4" spans="2:8">
      <c r="B4" t="s">
        <v>41</v>
      </c>
      <c r="C4" s="14">
        <f>'County Data'!G9</f>
        <v>71333.333333333314</v>
      </c>
      <c r="D4" s="9"/>
    </row>
    <row r="6" spans="2:8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>
      <c r="B7" s="20" t="str">
        <f>'County Data'!$B$45</f>
        <v>Wheeler</v>
      </c>
      <c r="C7" s="15">
        <f>VLOOKUP($B7,'County Data'!$B$10:$L$46,2,FALSE)</f>
        <v>1450</v>
      </c>
      <c r="D7" s="29">
        <f>VLOOKUP($B7,'County Data'!$B$10:$L$46,6,FALSE)</f>
        <v>0.10999999999999999</v>
      </c>
      <c r="E7" s="31">
        <f t="shared" ref="E7:E40" si="0">C7*D7</f>
        <v>159.49999999999997</v>
      </c>
      <c r="F7" s="6">
        <f t="shared" ref="F7:F40" si="1">E7/$E$41</f>
        <v>1.6163712598545613E-4</v>
      </c>
      <c r="G7" s="14">
        <f t="shared" ref="G7:G40" si="2">$C$4*F7</f>
        <v>11.530114986962534</v>
      </c>
      <c r="H7" s="10">
        <f t="shared" ref="H7:H40" si="3">G7/C7</f>
        <v>7.9518034392845067E-3</v>
      </c>
    </row>
    <row r="8" spans="2:8">
      <c r="B8" s="20" t="str">
        <f>+'County Data'!$B$42</f>
        <v>Wallowa</v>
      </c>
      <c r="C8" s="15">
        <f>VLOOKUP($B8,'County Data'!$B$10:$L$46,2,FALSE)</f>
        <v>7175</v>
      </c>
      <c r="D8" s="29">
        <f>VLOOKUP($B8,'County Data'!$B$10:$L$46,6,FALSE)</f>
        <v>6.5999999999999948E-2</v>
      </c>
      <c r="E8" s="31">
        <f t="shared" si="0"/>
        <v>473.54999999999961</v>
      </c>
      <c r="F8" s="6">
        <f t="shared" si="1"/>
        <v>4.7989505335681944E-4</v>
      </c>
      <c r="G8" s="14">
        <f t="shared" si="2"/>
        <v>34.232513806119776</v>
      </c>
      <c r="H8" s="10">
        <f t="shared" si="3"/>
        <v>4.7710820635707002E-3</v>
      </c>
    </row>
    <row r="9" spans="2:8">
      <c r="B9" s="20" t="str">
        <f>+'County Data'!$B$21</f>
        <v>Grant</v>
      </c>
      <c r="C9" s="15">
        <f>VLOOKUP($B9,'County Data'!$B$10:$L$46,2,FALSE)</f>
        <v>7400</v>
      </c>
      <c r="D9" s="29">
        <f>VLOOKUP($B9,'County Data'!$B$10:$L$46,6,FALSE)</f>
        <v>8.1999999999999962E-2</v>
      </c>
      <c r="E9" s="31">
        <f t="shared" si="0"/>
        <v>606.79999999999973</v>
      </c>
      <c r="F9" s="6">
        <f t="shared" si="1"/>
        <v>6.1493045798103295E-4</v>
      </c>
      <c r="G9" s="14">
        <f t="shared" si="2"/>
        <v>43.865039335980342</v>
      </c>
      <c r="H9" s="10">
        <f t="shared" si="3"/>
        <v>5.9277080183757222E-3</v>
      </c>
    </row>
    <row r="10" spans="2:8">
      <c r="B10" s="20" t="str">
        <f>+'County Data'!$B$10</f>
        <v>Baker</v>
      </c>
      <c r="C10" s="15">
        <f>VLOOKUP($B10,'County Data'!$B$10:$L$46,2,FALSE)</f>
        <v>16765</v>
      </c>
      <c r="D10" s="29">
        <f>VLOOKUP($B10,'County Data'!$B$10:$L$46,6,FALSE)</f>
        <v>8.8999999999999968E-2</v>
      </c>
      <c r="E10" s="31">
        <f t="shared" si="0"/>
        <v>1492.0849999999994</v>
      </c>
      <c r="F10" s="6">
        <f t="shared" si="1"/>
        <v>1.5120773111348541E-3</v>
      </c>
      <c r="G10" s="14">
        <f t="shared" si="2"/>
        <v>107.86151486095289</v>
      </c>
      <c r="H10" s="10">
        <f t="shared" si="3"/>
        <v>6.4337318736029164E-3</v>
      </c>
    </row>
    <row r="11" spans="2:8">
      <c r="B11" s="20" t="str">
        <f>+'County Data'!$B$41</f>
        <v>Union</v>
      </c>
      <c r="C11" s="15">
        <f>VLOOKUP($B11,'County Data'!$B$10:$L$46,2,FALSE)</f>
        <v>26885</v>
      </c>
      <c r="D11" s="29">
        <f>VLOOKUP($B11,'County Data'!$B$10:$L$46,6,FALSE)</f>
        <v>0.10699999999999998</v>
      </c>
      <c r="E11" s="31">
        <f t="shared" si="0"/>
        <v>2876.6949999999997</v>
      </c>
      <c r="F11" s="6">
        <f t="shared" si="1"/>
        <v>2.9152395745249637E-3</v>
      </c>
      <c r="G11" s="14">
        <f t="shared" si="2"/>
        <v>207.95375631611401</v>
      </c>
      <c r="H11" s="10">
        <f t="shared" si="3"/>
        <v>7.7349360727585643E-3</v>
      </c>
    </row>
    <row r="12" spans="2:8">
      <c r="B12" s="20" t="str">
        <f>+'County Data'!$B$14</f>
        <v>Columbia</v>
      </c>
      <c r="C12" s="15">
        <f>VLOOKUP($B12,'County Data'!$B$10:$L$46,2,FALSE)</f>
        <v>51900</v>
      </c>
      <c r="D12" s="29">
        <f>VLOOKUP($B12,'County Data'!$B$10:$L$46,6,FALSE)</f>
        <v>0.10899999999999999</v>
      </c>
      <c r="E12" s="31">
        <f t="shared" si="0"/>
        <v>5657.0999999999995</v>
      </c>
      <c r="F12" s="6">
        <f t="shared" si="1"/>
        <v>5.7328989681023441E-3</v>
      </c>
      <c r="G12" s="14">
        <f t="shared" si="2"/>
        <v>408.94679305796711</v>
      </c>
      <c r="H12" s="10">
        <f t="shared" si="3"/>
        <v>7.8795143171091937E-3</v>
      </c>
    </row>
    <row r="13" spans="2:8">
      <c r="B13" s="20" t="str">
        <f>+'County Data'!$B$19</f>
        <v>Douglas</v>
      </c>
      <c r="C13" s="15">
        <f>VLOOKUP($B13,'County Data'!$B$10:$L$46,2,FALSE)</f>
        <v>111735</v>
      </c>
      <c r="D13" s="29">
        <f>VLOOKUP($B13,'County Data'!$B$10:$L$46,6,FALSE)</f>
        <v>0.11599999999999999</v>
      </c>
      <c r="E13" s="31">
        <f t="shared" si="0"/>
        <v>12961.259999999998</v>
      </c>
      <c r="F13" s="6">
        <f t="shared" si="1"/>
        <v>1.3134926743261775E-2</v>
      </c>
      <c r="G13" s="14">
        <f t="shared" si="2"/>
        <v>936.95810768600631</v>
      </c>
      <c r="H13" s="10">
        <f t="shared" si="3"/>
        <v>8.3855381723363879E-3</v>
      </c>
    </row>
    <row r="14" spans="2:8">
      <c r="B14" s="20" t="str">
        <f>+'County Data'!$B$16</f>
        <v>Crook</v>
      </c>
      <c r="C14" s="15">
        <f>VLOOKUP($B14,'County Data'!$B$10:$L$46,2,FALSE)</f>
        <v>22710</v>
      </c>
      <c r="D14" s="29">
        <f>VLOOKUP($B14,'County Data'!$B$10:$L$46,6,FALSE)</f>
        <v>0.11599999999999999</v>
      </c>
      <c r="E14" s="31">
        <f t="shared" si="0"/>
        <v>2634.3599999999997</v>
      </c>
      <c r="F14" s="6">
        <f t="shared" si="1"/>
        <v>2.6696575499125155E-3</v>
      </c>
      <c r="G14" s="14">
        <f t="shared" si="2"/>
        <v>190.43557189375937</v>
      </c>
      <c r="H14" s="10">
        <f t="shared" si="3"/>
        <v>8.3855381723363879E-3</v>
      </c>
    </row>
    <row r="15" spans="2:8">
      <c r="B15" s="20" t="str">
        <f>+'County Data'!$B$18</f>
        <v>Deschutes</v>
      </c>
      <c r="C15" s="15">
        <f>VLOOKUP($B15,'County Data'!$B$10:$L$46,2,FALSE)</f>
        <v>188980</v>
      </c>
      <c r="D15" s="29">
        <f>VLOOKUP($B15,'County Data'!$B$10:$L$46,6,FALSE)</f>
        <v>0.123</v>
      </c>
      <c r="E15" s="31">
        <f t="shared" si="0"/>
        <v>23244.54</v>
      </c>
      <c r="F15" s="6">
        <f t="shared" si="1"/>
        <v>2.355599147620047E-2</v>
      </c>
      <c r="G15" s="14">
        <f t="shared" si="2"/>
        <v>1680.3273919689664</v>
      </c>
      <c r="H15" s="10">
        <f t="shared" si="3"/>
        <v>8.8915620275635855E-3</v>
      </c>
    </row>
    <row r="16" spans="2:8">
      <c r="B16" s="20" t="str">
        <f>+'County Data'!$B$26</f>
        <v>Josephine</v>
      </c>
      <c r="C16" s="15">
        <f>VLOOKUP($B16,'County Data'!$B$10:$L$46,2,FALSE)</f>
        <v>86395</v>
      </c>
      <c r="D16" s="29">
        <f>VLOOKUP($B16,'County Data'!$B$10:$L$46,6,FALSE)</f>
        <v>0.126</v>
      </c>
      <c r="E16" s="31">
        <f t="shared" si="0"/>
        <v>10885.77</v>
      </c>
      <c r="F16" s="6">
        <f t="shared" si="1"/>
        <v>1.1031627441621937E-2</v>
      </c>
      <c r="G16" s="14">
        <f t="shared" si="2"/>
        <v>786.92275750236468</v>
      </c>
      <c r="H16" s="10">
        <f t="shared" si="3"/>
        <v>9.1084293940895261E-3</v>
      </c>
    </row>
    <row r="17" spans="2:8">
      <c r="B17" s="20" t="str">
        <f>+'County Data'!$B$17</f>
        <v>Curry</v>
      </c>
      <c r="C17" s="15">
        <f>VLOOKUP($B17,'County Data'!$B$10:$L$46,2,FALSE)</f>
        <v>22915</v>
      </c>
      <c r="D17" s="29">
        <f>VLOOKUP($B17,'County Data'!$B$10:$L$46,6,FALSE)</f>
        <v>0.13200000000000001</v>
      </c>
      <c r="E17" s="31">
        <f t="shared" si="0"/>
        <v>3024.78</v>
      </c>
      <c r="F17" s="6">
        <f t="shared" si="1"/>
        <v>3.0653087519641885E-3</v>
      </c>
      <c r="G17" s="14">
        <f t="shared" si="2"/>
        <v>218.65869097344537</v>
      </c>
      <c r="H17" s="10">
        <f t="shared" si="3"/>
        <v>9.5421641271414091E-3</v>
      </c>
    </row>
    <row r="18" spans="2:8">
      <c r="B18" s="20" t="str">
        <f>+'County Data'!$B$22</f>
        <v>Harney</v>
      </c>
      <c r="C18" s="15">
        <f>VLOOKUP($B18,'County Data'!$B$10:$L$46,2,FALSE)</f>
        <v>7380</v>
      </c>
      <c r="D18" s="29">
        <f>VLOOKUP($B18,'County Data'!$B$10:$L$46,6,FALSE)</f>
        <v>0.13200000000000001</v>
      </c>
      <c r="E18" s="31">
        <f t="shared" si="0"/>
        <v>974.16000000000008</v>
      </c>
      <c r="F18" s="6">
        <f t="shared" si="1"/>
        <v>9.8721268119117216E-4</v>
      </c>
      <c r="G18" s="14">
        <f t="shared" si="2"/>
        <v>70.421171258303602</v>
      </c>
      <c r="H18" s="10">
        <f t="shared" si="3"/>
        <v>9.5421641271414091E-3</v>
      </c>
    </row>
    <row r="19" spans="2:8">
      <c r="B19" s="20" t="str">
        <f>+'County Data'!$B$13</f>
        <v>Clatsop</v>
      </c>
      <c r="C19" s="15">
        <f>VLOOKUP($B19,'County Data'!$B$10:$L$46,2,FALSE)</f>
        <v>39200</v>
      </c>
      <c r="D19" s="29">
        <f>VLOOKUP($B19,'County Data'!$B$10:$L$46,6,FALSE)</f>
        <v>0.14000000000000001</v>
      </c>
      <c r="E19" s="31">
        <f t="shared" si="0"/>
        <v>5488.0000000000009</v>
      </c>
      <c r="F19" s="6">
        <f t="shared" si="1"/>
        <v>5.5615332125904925E-3</v>
      </c>
      <c r="G19" s="14">
        <f t="shared" si="2"/>
        <v>396.72270249812169</v>
      </c>
      <c r="H19" s="10">
        <f t="shared" si="3"/>
        <v>1.0120477104543921E-2</v>
      </c>
    </row>
    <row r="20" spans="2:8">
      <c r="B20" s="20" t="str">
        <f>+'County Data'!$B$31</f>
        <v>Linn</v>
      </c>
      <c r="C20" s="15">
        <f>VLOOKUP($B20,'County Data'!$B$10:$L$46,2,FALSE)</f>
        <v>125575</v>
      </c>
      <c r="D20" s="29">
        <f>VLOOKUP($B20,'County Data'!$B$10:$L$46,6,FALSE)</f>
        <v>0.14300000000000002</v>
      </c>
      <c r="E20" s="31">
        <f t="shared" si="0"/>
        <v>17957.225000000002</v>
      </c>
      <c r="F20" s="6">
        <f t="shared" si="1"/>
        <v>1.8197832223662589E-2</v>
      </c>
      <c r="G20" s="14">
        <f t="shared" si="2"/>
        <v>1298.1120319545976</v>
      </c>
      <c r="H20" s="10">
        <f t="shared" si="3"/>
        <v>1.0337344471069859E-2</v>
      </c>
    </row>
    <row r="21" spans="2:8">
      <c r="B21" s="20" t="str">
        <f>+'County Data'!$B$15</f>
        <v>Coos</v>
      </c>
      <c r="C21" s="15">
        <f>VLOOKUP($B21,'County Data'!$B$10:$L$46,2,FALSE)</f>
        <v>63275</v>
      </c>
      <c r="D21" s="29">
        <f>VLOOKUP($B21,'County Data'!$B$10:$L$46,6,FALSE)</f>
        <v>0.14400000000000002</v>
      </c>
      <c r="E21" s="31">
        <f t="shared" si="0"/>
        <v>9111.6</v>
      </c>
      <c r="F21" s="6">
        <f t="shared" si="1"/>
        <v>9.2336854992418962E-3</v>
      </c>
      <c r="G21" s="14">
        <f t="shared" si="2"/>
        <v>658.66956561258837</v>
      </c>
      <c r="H21" s="10">
        <f t="shared" si="3"/>
        <v>1.0409633593245173E-2</v>
      </c>
    </row>
    <row r="22" spans="2:8">
      <c r="B22" s="20" t="str">
        <f>+'County Data'!$B$28</f>
        <v>Lake</v>
      </c>
      <c r="C22" s="15">
        <f>VLOOKUP($B22,'County Data'!$B$10:$L$46,2,FALSE)</f>
        <v>8115</v>
      </c>
      <c r="D22" s="29">
        <f>VLOOKUP($B22,'County Data'!$B$10:$L$46,6,FALSE)</f>
        <v>0.14800000000000002</v>
      </c>
      <c r="E22" s="31">
        <f t="shared" si="0"/>
        <v>1201.0200000000002</v>
      </c>
      <c r="F22" s="6">
        <f t="shared" si="1"/>
        <v>1.21711235768685E-3</v>
      </c>
      <c r="G22" s="14">
        <f t="shared" si="2"/>
        <v>86.820681514995272</v>
      </c>
      <c r="H22" s="10">
        <f t="shared" si="3"/>
        <v>1.0698790081946428E-2</v>
      </c>
    </row>
    <row r="23" spans="2:8">
      <c r="B23" s="20" t="str">
        <f>+'County Data'!$B$39</f>
        <v>Tillamook</v>
      </c>
      <c r="C23" s="15">
        <f>VLOOKUP($B23,'County Data'!$B$10:$L$46,2,FALSE)</f>
        <v>26395</v>
      </c>
      <c r="D23" s="29">
        <f>VLOOKUP($B23,'County Data'!$B$10:$L$46,6,FALSE)</f>
        <v>0.15300000000000002</v>
      </c>
      <c r="E23" s="31">
        <f t="shared" si="0"/>
        <v>4038.4350000000009</v>
      </c>
      <c r="F23" s="6">
        <f t="shared" si="1"/>
        <v>4.0925456230663055E-3</v>
      </c>
      <c r="G23" s="14">
        <f t="shared" si="2"/>
        <v>291.93492111206302</v>
      </c>
      <c r="H23" s="10">
        <f t="shared" si="3"/>
        <v>1.1060235692822998E-2</v>
      </c>
    </row>
    <row r="24" spans="2:8">
      <c r="B24" s="20" t="str">
        <f>+'County Data'!$B$12</f>
        <v>Clackamas</v>
      </c>
      <c r="C24" s="15">
        <f>VLOOKUP($B24,'County Data'!$B$10:$L$46,2,FALSE)</f>
        <v>419425</v>
      </c>
      <c r="D24" s="29">
        <f>VLOOKUP($B24,'County Data'!$B$10:$L$46,6,FALSE)</f>
        <v>0.17300000000000004</v>
      </c>
      <c r="E24" s="31">
        <f t="shared" si="0"/>
        <v>72560.525000000023</v>
      </c>
      <c r="F24" s="6">
        <f t="shared" si="1"/>
        <v>7.3532756871447294E-2</v>
      </c>
      <c r="G24" s="14">
        <f t="shared" si="2"/>
        <v>5245.3366568299052</v>
      </c>
      <c r="H24" s="10">
        <f t="shared" si="3"/>
        <v>1.2506018136329273E-2</v>
      </c>
    </row>
    <row r="25" spans="2:8">
      <c r="B25" s="20" t="str">
        <f>+'County Data'!$B$29</f>
        <v>Lane</v>
      </c>
      <c r="C25" s="15">
        <f>VLOOKUP($B25,'County Data'!$B$10:$L$46,2,FALSE)</f>
        <v>375120</v>
      </c>
      <c r="D25" s="29">
        <f>VLOOKUP($B25,'County Data'!$B$10:$L$46,6,FALSE)</f>
        <v>0.17400000000000004</v>
      </c>
      <c r="E25" s="31">
        <f t="shared" si="0"/>
        <v>65270.880000000019</v>
      </c>
      <c r="F25" s="6">
        <f t="shared" si="1"/>
        <v>6.6145438581451999E-2</v>
      </c>
      <c r="G25" s="14">
        <f t="shared" si="2"/>
        <v>4718.3746188102414</v>
      </c>
      <c r="H25" s="10">
        <f t="shared" si="3"/>
        <v>1.257830725850459E-2</v>
      </c>
    </row>
    <row r="26" spans="2:8">
      <c r="B26" s="20" t="str">
        <f>+'County Data'!$B$30</f>
        <v>Lincoln</v>
      </c>
      <c r="C26" s="15">
        <f>VLOOKUP($B26,'County Data'!$B$10:$L$46,2,FALSE)</f>
        <v>48210</v>
      </c>
      <c r="D26" s="29">
        <f>VLOOKUP($B26,'County Data'!$B$10:$L$46,6,FALSE)</f>
        <v>0.17100000000000004</v>
      </c>
      <c r="E26" s="31">
        <f t="shared" si="0"/>
        <v>8243.9100000000017</v>
      </c>
      <c r="F26" s="6">
        <f t="shared" si="1"/>
        <v>8.3543693998919255E-3</v>
      </c>
      <c r="G26" s="14">
        <f t="shared" si="2"/>
        <v>595.94501719229049</v>
      </c>
      <c r="H26" s="10">
        <f t="shared" si="3"/>
        <v>1.2361439891978646E-2</v>
      </c>
    </row>
    <row r="27" spans="2:8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Data'!$B$10:$L$46,6,FALSE)</f>
        <v>0.18300000000000005</v>
      </c>
      <c r="E27" s="31">
        <f t="shared" si="0"/>
        <v>40113.600000000013</v>
      </c>
      <c r="F27" s="6">
        <f t="shared" si="1"/>
        <v>4.0651078476051386E-2</v>
      </c>
      <c r="G27" s="14">
        <f t="shared" si="2"/>
        <v>2899.7769312916648</v>
      </c>
      <c r="H27" s="10">
        <f t="shared" si="3"/>
        <v>1.3228909358082413E-2</v>
      </c>
    </row>
    <row r="28" spans="2:8">
      <c r="B28" s="20" t="str">
        <f>+'County Data'!$B$11</f>
        <v>Benton</v>
      </c>
      <c r="C28" s="15">
        <f>VLOOKUP($B28,'County Data'!$B$10:$L$46,2,FALSE)</f>
        <v>93590</v>
      </c>
      <c r="D28" s="29">
        <f>VLOOKUP($B28,'County Data'!$B$10:$L$46,6,FALSE)</f>
        <v>0.18700000000000006</v>
      </c>
      <c r="E28" s="31">
        <f t="shared" si="0"/>
        <v>17501.330000000005</v>
      </c>
      <c r="F28" s="6">
        <f t="shared" si="1"/>
        <v>1.7735828728044165E-2</v>
      </c>
      <c r="G28" s="14">
        <f t="shared" si="2"/>
        <v>1265.1557826004835</v>
      </c>
      <c r="H28" s="10">
        <f t="shared" si="3"/>
        <v>1.3518065846783668E-2</v>
      </c>
    </row>
    <row r="29" spans="2:8">
      <c r="B29" s="20" t="str">
        <f>+'County Data'!$B$27</f>
        <v>Klamath</v>
      </c>
      <c r="C29" s="15">
        <f>VLOOKUP($B29,'County Data'!$B$10:$L$46,2,FALSE)</f>
        <v>67960</v>
      </c>
      <c r="D29" s="29">
        <f>VLOOKUP($B29,'County Data'!$B$10:$L$46,6,FALSE)</f>
        <v>0.21299999999999997</v>
      </c>
      <c r="E29" s="31">
        <f t="shared" si="0"/>
        <v>14475.479999999998</v>
      </c>
      <c r="F29" s="6">
        <f t="shared" si="1"/>
        <v>1.4669435639247339E-2</v>
      </c>
      <c r="G29" s="14">
        <f t="shared" si="2"/>
        <v>1046.4197422663099</v>
      </c>
      <c r="H29" s="10">
        <f t="shared" si="3"/>
        <v>1.5397583023341817E-2</v>
      </c>
    </row>
    <row r="30" spans="2:8">
      <c r="B30" s="20" t="str">
        <f>+'County Data'!$B$37</f>
        <v>Polk</v>
      </c>
      <c r="C30" s="15">
        <f>VLOOKUP($B30,'County Data'!$B$10:$L$46,2,FALSE)</f>
        <v>82100</v>
      </c>
      <c r="D30" s="29">
        <f>VLOOKUP($B30,'County Data'!$B$10:$L$46,6,FALSE)</f>
        <v>0.21099999999999997</v>
      </c>
      <c r="E30" s="31">
        <f t="shared" si="0"/>
        <v>17323.099999999999</v>
      </c>
      <c r="F30" s="6">
        <f t="shared" si="1"/>
        <v>1.7555210640493136E-2</v>
      </c>
      <c r="G30" s="14">
        <f t="shared" si="2"/>
        <v>1252.2716923551766</v>
      </c>
      <c r="H30" s="10">
        <f t="shared" si="3"/>
        <v>1.5253004778991188E-2</v>
      </c>
    </row>
    <row r="31" spans="2:8">
      <c r="B31" s="20" t="str">
        <f>+'County Data'!$B$46</f>
        <v>Yamhill</v>
      </c>
      <c r="C31" s="15">
        <f>VLOOKUP($B31,'County Data'!$B$10:$L$46,2,FALSE)</f>
        <v>107415</v>
      </c>
      <c r="D31" s="29">
        <f>VLOOKUP($B31,'County Data'!$B$10:$L$46,6,FALSE)</f>
        <v>0.22399999999999998</v>
      </c>
      <c r="E31" s="31">
        <f t="shared" si="0"/>
        <v>24060.959999999999</v>
      </c>
      <c r="F31" s="6">
        <f t="shared" si="1"/>
        <v>2.4383350613486024E-2</v>
      </c>
      <c r="G31" s="14">
        <f t="shared" si="2"/>
        <v>1739.345677095336</v>
      </c>
      <c r="H31" s="10">
        <f t="shared" si="3"/>
        <v>1.6192763367270269E-2</v>
      </c>
    </row>
    <row r="32" spans="2:8">
      <c r="B32" s="20" t="str">
        <f>+'County Data'!$B$36</f>
        <v>Gilliam, Sherman, Wasco</v>
      </c>
      <c r="C32" s="15">
        <f>VLOOKUP($B32,'County Data'!$B$10:$L$46,2,FALSE)</f>
        <v>30970</v>
      </c>
      <c r="D32" s="29">
        <f>VLOOKUP($B32,'County Data'!$B$10:$L$46,6,FALSE)</f>
        <v>0.23002189381499727</v>
      </c>
      <c r="E32" s="31">
        <f t="shared" si="0"/>
        <v>7123.7780514504657</v>
      </c>
      <c r="F32" s="6">
        <f t="shared" si="1"/>
        <v>7.2192289052960892E-3</v>
      </c>
      <c r="G32" s="14">
        <f t="shared" si="2"/>
        <v>514.97166191112092</v>
      </c>
      <c r="H32" s="10">
        <f t="shared" si="3"/>
        <v>1.6628080784989376E-2</v>
      </c>
    </row>
    <row r="33" spans="2:8">
      <c r="B33" s="20" t="str">
        <f>+'County Data'!$B$35</f>
        <v>Multnomah</v>
      </c>
      <c r="C33" s="15">
        <f>VLOOKUP($B33,'County Data'!$B$10:$L$46,2,FALSE)</f>
        <v>813300</v>
      </c>
      <c r="D33" s="29">
        <f>VLOOKUP($B33,'County Data'!$B$10:$L$46,6,FALSE)</f>
        <v>0.29500000000000004</v>
      </c>
      <c r="E33" s="31">
        <f t="shared" si="0"/>
        <v>239923.50000000003</v>
      </c>
      <c r="F33" s="6">
        <f t="shared" si="1"/>
        <v>0.24313821314339557</v>
      </c>
      <c r="G33" s="14">
        <f t="shared" si="2"/>
        <v>17343.85920422888</v>
      </c>
      <c r="H33" s="10">
        <f t="shared" si="3"/>
        <v>2.1325291041717546E-2</v>
      </c>
    </row>
    <row r="34" spans="2:8">
      <c r="B34" s="20" t="str">
        <f>+'County Data'!$B$44</f>
        <v>Washington</v>
      </c>
      <c r="C34" s="15">
        <f>VLOOKUP($B34,'County Data'!$B$10:$L$46,2,FALSE)</f>
        <v>606280</v>
      </c>
      <c r="D34" s="29">
        <f>VLOOKUP($B34,'County Data'!$B$10:$L$46,6,FALSE)</f>
        <v>0.32899999999999996</v>
      </c>
      <c r="E34" s="31">
        <f t="shared" si="0"/>
        <v>199466.11999999997</v>
      </c>
      <c r="F34" s="6">
        <f t="shared" si="1"/>
        <v>0.20213874839040821</v>
      </c>
      <c r="G34" s="14">
        <f t="shared" si="2"/>
        <v>14419.230718515782</v>
      </c>
      <c r="H34" s="10">
        <f t="shared" si="3"/>
        <v>2.3783121195678207E-2</v>
      </c>
    </row>
    <row r="35" spans="2:8">
      <c r="B35" s="20" t="str">
        <f>+'County Data'!$B$40</f>
        <v>Umatilla</v>
      </c>
      <c r="C35" s="15">
        <f>VLOOKUP($B35,'County Data'!$B$10:$L$46,2,FALSE)</f>
        <v>80765</v>
      </c>
      <c r="D35" s="29">
        <f>VLOOKUP($B35,'County Data'!$B$10:$L$46,6,FALSE)</f>
        <v>0.32999999999999996</v>
      </c>
      <c r="E35" s="31">
        <f t="shared" si="0"/>
        <v>26652.449999999997</v>
      </c>
      <c r="F35" s="6">
        <f t="shared" si="1"/>
        <v>2.7009563752169719E-2</v>
      </c>
      <c r="G35" s="14">
        <f t="shared" si="2"/>
        <v>1926.6822143214395</v>
      </c>
      <c r="H35" s="10">
        <f t="shared" si="3"/>
        <v>2.3855410317853518E-2</v>
      </c>
    </row>
    <row r="36" spans="2:8">
      <c r="B36" s="20" t="str">
        <f>+'County Data'!$B$33</f>
        <v>Marion</v>
      </c>
      <c r="C36" s="15">
        <f>VLOOKUP($B36,'County Data'!$B$10:$L$46,2,FALSE)</f>
        <v>344035</v>
      </c>
      <c r="D36" s="29">
        <f>VLOOKUP($B36,'County Data'!$B$10:$L$46,6,FALSE)</f>
        <v>0.33699999999999997</v>
      </c>
      <c r="E36" s="31">
        <f t="shared" si="0"/>
        <v>115939.79499999998</v>
      </c>
      <c r="F36" s="6">
        <f t="shared" si="1"/>
        <v>0.11749326176265176</v>
      </c>
      <c r="G36" s="14">
        <f t="shared" si="2"/>
        <v>8381.1860057358226</v>
      </c>
      <c r="H36" s="10">
        <f t="shared" si="3"/>
        <v>2.4361434173080711E-2</v>
      </c>
    </row>
    <row r="37" spans="2:8">
      <c r="B37" s="20" t="str">
        <f>+'County Data'!$B$23</f>
        <v>Hood River</v>
      </c>
      <c r="C37" s="15">
        <f>VLOOKUP($B37,'County Data'!$B$10:$L$46,2,FALSE)</f>
        <v>25310</v>
      </c>
      <c r="D37" s="29">
        <f>VLOOKUP($B37,'County Data'!$B$10:$L$46,6,FALSE)</f>
        <v>0.35799999999999998</v>
      </c>
      <c r="E37" s="31">
        <f t="shared" si="0"/>
        <v>9060.98</v>
      </c>
      <c r="F37" s="6">
        <f t="shared" si="1"/>
        <v>9.1823872464683286E-3</v>
      </c>
      <c r="G37" s="14">
        <f t="shared" si="2"/>
        <v>655.01029024807394</v>
      </c>
      <c r="H37" s="10">
        <f t="shared" si="3"/>
        <v>2.5879505738762305E-2</v>
      </c>
    </row>
    <row r="38" spans="2:8">
      <c r="B38" s="20" t="str">
        <f>+'County Data'!$B$32</f>
        <v>Malheur</v>
      </c>
      <c r="C38" s="15">
        <f>VLOOKUP($B38,'County Data'!$B$10:$L$46,2,FALSE)</f>
        <v>31925</v>
      </c>
      <c r="D38" s="29">
        <f>VLOOKUP($B38,'County Data'!$B$10:$L$46,6,FALSE)</f>
        <v>0.38300000000000001</v>
      </c>
      <c r="E38" s="31">
        <f t="shared" si="0"/>
        <v>12227.275</v>
      </c>
      <c r="F38" s="6">
        <f t="shared" si="1"/>
        <v>1.2391107145039612E-2</v>
      </c>
      <c r="G38" s="14">
        <f t="shared" si="2"/>
        <v>883.89897634615875</v>
      </c>
      <c r="H38" s="10">
        <f t="shared" si="3"/>
        <v>2.7686733793145145E-2</v>
      </c>
    </row>
    <row r="39" spans="2:8">
      <c r="B39" s="20" t="str">
        <f>+'County Data'!$B$34</f>
        <v>Morrow</v>
      </c>
      <c r="C39" s="15">
        <f>VLOOKUP($B39,'County Data'!$B$10:$L$46,2,FALSE)</f>
        <v>11885</v>
      </c>
      <c r="D39" s="29">
        <f>VLOOKUP($B39,'County Data'!$B$10:$L$46,6,FALSE)</f>
        <v>0.39300000000000002</v>
      </c>
      <c r="E39" s="31">
        <f t="shared" si="0"/>
        <v>4670.8050000000003</v>
      </c>
      <c r="F39" s="6">
        <f t="shared" si="1"/>
        <v>4.7333886911504613E-3</v>
      </c>
      <c r="G39" s="14">
        <f t="shared" si="2"/>
        <v>337.64839330206615</v>
      </c>
      <c r="H39" s="10">
        <f t="shared" si="3"/>
        <v>2.8409625014898288E-2</v>
      </c>
    </row>
    <row r="40" spans="2:8">
      <c r="B40" s="20" t="str">
        <f>+'County Data'!$B$25</f>
        <v>Jefferson</v>
      </c>
      <c r="C40" s="15">
        <f>VLOOKUP($B40,'County Data'!$B$10:$L$46,2,FALSE)</f>
        <v>23560</v>
      </c>
      <c r="D40" s="29">
        <f>VLOOKUP($B40,'County Data'!$B$10:$L$46,6,FALSE)</f>
        <v>0.39800000000000002</v>
      </c>
      <c r="E40" s="31">
        <f t="shared" si="0"/>
        <v>9376.880000000001</v>
      </c>
      <c r="F40" s="6">
        <f t="shared" si="1"/>
        <v>9.502519961821344E-3</v>
      </c>
      <c r="G40" s="14">
        <f t="shared" si="2"/>
        <v>677.84642394325567</v>
      </c>
      <c r="H40" s="10">
        <f t="shared" si="3"/>
        <v>2.8771070625774858E-2</v>
      </c>
    </row>
    <row r="41" spans="2:8">
      <c r="B41" s="4" t="s">
        <v>2</v>
      </c>
      <c r="C41" s="5">
        <f>SUM(C7:C40)</f>
        <v>4195300</v>
      </c>
      <c r="D41" s="5"/>
      <c r="E41" s="5">
        <f>SUM(E7:E40)</f>
        <v>986778.24805145047</v>
      </c>
      <c r="F41" s="8">
        <f>SUM(F7:F40)</f>
        <v>1</v>
      </c>
      <c r="G41" s="11">
        <f>SUM(G7:G40)</f>
        <v>71333.333333333314</v>
      </c>
      <c r="H41" s="12">
        <f>G41/C41</f>
        <v>1.7003154323488978E-2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8" bestFit="1" customWidth="1"/>
    <col min="5" max="5" width="14.3320312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8">
      <c r="B3" t="s">
        <v>0</v>
      </c>
      <c r="C3" s="1">
        <f>'County Data'!C5</f>
        <v>800000</v>
      </c>
    </row>
    <row r="4" spans="2:8">
      <c r="B4" t="s">
        <v>41</v>
      </c>
      <c r="C4" s="14">
        <f>'County Data'!I9</f>
        <v>71333.333333333314</v>
      </c>
      <c r="D4" s="9"/>
    </row>
    <row r="6" spans="2:8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>
      <c r="B7" s="20" t="str">
        <f>+'County Data'!$B$35</f>
        <v>Multnomah</v>
      </c>
      <c r="C7" s="15">
        <f>VLOOKUP($B7,'County Data'!$B$10:$L$46,2,FALSE)</f>
        <v>813300</v>
      </c>
      <c r="D7" s="29">
        <f>VLOOKUP($B7,'County Data'!$B$10:$L$46,8,FALSE)</f>
        <v>1.2999999999999999E-2</v>
      </c>
      <c r="E7" s="31">
        <f t="shared" ref="E7:E40" si="0">C7*D7</f>
        <v>10572.9</v>
      </c>
      <c r="F7" s="6">
        <f t="shared" ref="F7:F40" si="1">IF(E7=0,0,E7/$E$41)</f>
        <v>1.3517341639338687E-2</v>
      </c>
      <c r="G7" s="14">
        <f t="shared" ref="G7:G40" si="2">$C$4*F7</f>
        <v>964.23703693949267</v>
      </c>
      <c r="H7" s="10">
        <f t="shared" ref="H7:H40" si="3">G7/C7</f>
        <v>1.1855859300866748E-3</v>
      </c>
    </row>
    <row r="8" spans="2:8">
      <c r="B8" s="20" t="str">
        <f>+'County Data'!$B$44</f>
        <v>Washington</v>
      </c>
      <c r="C8" s="15">
        <f>VLOOKUP($B8,'County Data'!$B$10:$L$46,2,FALSE)</f>
        <v>606280</v>
      </c>
      <c r="D8" s="29">
        <f>VLOOKUP($B8,'County Data'!$B$10:$L$46,8,FALSE)</f>
        <v>5.6000000000000001E-2</v>
      </c>
      <c r="E8" s="31">
        <f t="shared" si="0"/>
        <v>33951.68</v>
      </c>
      <c r="F8" s="6">
        <f t="shared" si="1"/>
        <v>4.3406866402737422E-2</v>
      </c>
      <c r="G8" s="14">
        <f t="shared" si="2"/>
        <v>3096.3564700619354</v>
      </c>
      <c r="H8" s="10">
        <f t="shared" si="3"/>
        <v>5.1071393911426002E-3</v>
      </c>
    </row>
    <row r="9" spans="2:8">
      <c r="B9" s="20" t="str">
        <f>+'County Data'!$B$33</f>
        <v>Marion</v>
      </c>
      <c r="C9" s="15">
        <f>VLOOKUP($B9,'County Data'!$B$10:$L$46,2,FALSE)</f>
        <v>344035</v>
      </c>
      <c r="D9" s="29">
        <f>VLOOKUP($B9,'County Data'!$B$10:$L$46,8,FALSE)</f>
        <v>0.13100000000000001</v>
      </c>
      <c r="E9" s="31">
        <f t="shared" si="0"/>
        <v>45068.584999999999</v>
      </c>
      <c r="F9" s="6">
        <f t="shared" si="1"/>
        <v>5.761971272277E-2</v>
      </c>
      <c r="G9" s="14">
        <f t="shared" si="2"/>
        <v>4110.2061742242586</v>
      </c>
      <c r="H9" s="10">
        <f t="shared" si="3"/>
        <v>1.1947058218565723E-2</v>
      </c>
    </row>
    <row r="10" spans="2:8">
      <c r="B10" s="20" t="str">
        <f>+'County Data'!$B$29</f>
        <v>Lane</v>
      </c>
      <c r="C10" s="15">
        <f>VLOOKUP($B10,'County Data'!$B$10:$L$46,2,FALSE)</f>
        <v>375120</v>
      </c>
      <c r="D10" s="29">
        <f>VLOOKUP($B10,'County Data'!$B$10:$L$46,8,FALSE)</f>
        <v>0.17499999999999999</v>
      </c>
      <c r="E10" s="31">
        <f t="shared" si="0"/>
        <v>65646</v>
      </c>
      <c r="F10" s="6">
        <f t="shared" si="1"/>
        <v>8.3927721746732437E-2</v>
      </c>
      <c r="G10" s="14">
        <f t="shared" si="2"/>
        <v>5986.8441512669124</v>
      </c>
      <c r="H10" s="10">
        <f t="shared" si="3"/>
        <v>1.5959810597320625E-2</v>
      </c>
    </row>
    <row r="11" spans="2:8">
      <c r="B11" s="20" t="str">
        <f>+'County Data'!$B$12</f>
        <v>Clackamas</v>
      </c>
      <c r="C11" s="15">
        <f>VLOOKUP($B11,'County Data'!$B$10:$L$46,2,FALSE)</f>
        <v>419425</v>
      </c>
      <c r="D11" s="29">
        <f>VLOOKUP($B11,'County Data'!$B$10:$L$46,8,FALSE)</f>
        <v>0.18099999999999999</v>
      </c>
      <c r="E11" s="31">
        <f t="shared" si="0"/>
        <v>75915.925000000003</v>
      </c>
      <c r="F11" s="6">
        <f t="shared" si="1"/>
        <v>9.7057713029671408E-2</v>
      </c>
      <c r="G11" s="14">
        <f t="shared" si="2"/>
        <v>6923.4501961165588</v>
      </c>
      <c r="H11" s="10">
        <f t="shared" si="3"/>
        <v>1.6507004103514477E-2</v>
      </c>
    </row>
    <row r="12" spans="2:8">
      <c r="B12" s="20" t="str">
        <f>+'County Data'!$B$11</f>
        <v>Benton</v>
      </c>
      <c r="C12" s="15">
        <f>VLOOKUP($B12,'County Data'!$B$10:$L$46,2,FALSE)</f>
        <v>93590</v>
      </c>
      <c r="D12" s="29">
        <f>VLOOKUP($B12,'County Data'!$B$10:$L$46,8,FALSE)</f>
        <v>0.188</v>
      </c>
      <c r="E12" s="31">
        <f t="shared" si="0"/>
        <v>17594.919999999998</v>
      </c>
      <c r="F12" s="6">
        <f t="shared" si="1"/>
        <v>2.2494920481309105E-2</v>
      </c>
      <c r="G12" s="14">
        <f t="shared" si="2"/>
        <v>1604.6376610000491</v>
      </c>
      <c r="H12" s="10">
        <f t="shared" si="3"/>
        <v>1.7145396527407299E-2</v>
      </c>
    </row>
    <row r="13" spans="2:8">
      <c r="B13" s="20" t="str">
        <f>+'County Data'!$B$37</f>
        <v>Polk</v>
      </c>
      <c r="C13" s="15">
        <f>VLOOKUP($B13,'County Data'!$B$10:$L$46,2,FALSE)</f>
        <v>82100</v>
      </c>
      <c r="D13" s="29">
        <f>VLOOKUP($B13,'County Data'!$B$10:$L$46,8,FALSE)</f>
        <v>0.19900000000000001</v>
      </c>
      <c r="E13" s="31">
        <f t="shared" si="0"/>
        <v>16337.900000000001</v>
      </c>
      <c r="F13" s="6">
        <f t="shared" si="1"/>
        <v>2.0887833609449777E-2</v>
      </c>
      <c r="G13" s="14">
        <f t="shared" si="2"/>
        <v>1489.9987974740836</v>
      </c>
      <c r="H13" s="10">
        <f t="shared" si="3"/>
        <v>1.8148584622096026E-2</v>
      </c>
    </row>
    <row r="14" spans="2:8">
      <c r="B14" s="20" t="str">
        <f>+'County Data'!$B$24</f>
        <v>Jackson</v>
      </c>
      <c r="C14" s="15">
        <f>VLOOKUP($B14,'County Data'!$B$10:$L$46,2,FALSE)</f>
        <v>219200</v>
      </c>
      <c r="D14" s="29">
        <f>VLOOKUP($B14,'County Data'!$B$10:$L$46,8,FALSE)</f>
        <v>0.20100000000000001</v>
      </c>
      <c r="E14" s="31">
        <f t="shared" si="0"/>
        <v>44059.200000000004</v>
      </c>
      <c r="F14" s="6">
        <f t="shared" si="1"/>
        <v>5.6329224598355335E-2</v>
      </c>
      <c r="G14" s="14">
        <f t="shared" si="2"/>
        <v>4018.1513546826795</v>
      </c>
      <c r="H14" s="10">
        <f t="shared" si="3"/>
        <v>1.8330982457493976E-2</v>
      </c>
    </row>
    <row r="15" spans="2:8">
      <c r="B15" s="20" t="str">
        <f>+'County Data'!$B$46</f>
        <v>Yamhill</v>
      </c>
      <c r="C15" s="15">
        <f>VLOOKUP($B15,'County Data'!$B$10:$L$46,2,FALSE)</f>
        <v>107415</v>
      </c>
      <c r="D15" s="29">
        <f>VLOOKUP($B15,'County Data'!$B$10:$L$46,8,FALSE)</f>
        <v>0.22600000000000001</v>
      </c>
      <c r="E15" s="31">
        <f t="shared" si="0"/>
        <v>24275.79</v>
      </c>
      <c r="F15" s="6">
        <f t="shared" si="1"/>
        <v>3.1036342630200012E-2</v>
      </c>
      <c r="G15" s="14">
        <f t="shared" si="2"/>
        <v>2213.9257742876002</v>
      </c>
      <c r="H15" s="10">
        <f t="shared" si="3"/>
        <v>2.061095539996835E-2</v>
      </c>
    </row>
    <row r="16" spans="2:8">
      <c r="B16" s="20" t="str">
        <f>+'County Data'!$B$18</f>
        <v>Deschutes</v>
      </c>
      <c r="C16" s="15">
        <f>VLOOKUP($B16,'County Data'!$B$10:$L$46,2,FALSE)</f>
        <v>188980</v>
      </c>
      <c r="D16" s="29">
        <f>VLOOKUP($B16,'County Data'!$B$10:$L$46,8,FALSE)</f>
        <v>0.27600000000000002</v>
      </c>
      <c r="E16" s="31">
        <f t="shared" si="0"/>
        <v>52158.48</v>
      </c>
      <c r="F16" s="6">
        <f t="shared" si="1"/>
        <v>6.6684069039583668E-2</v>
      </c>
      <c r="G16" s="14">
        <f t="shared" si="2"/>
        <v>4756.7969248236341</v>
      </c>
      <c r="H16" s="10">
        <f t="shared" si="3"/>
        <v>2.5170901284917103E-2</v>
      </c>
    </row>
    <row r="17" spans="2:8">
      <c r="B17" s="20" t="str">
        <f>+'County Data'!$B$40</f>
        <v>Umatilla</v>
      </c>
      <c r="C17" s="15">
        <f>VLOOKUP($B17,'County Data'!$B$10:$L$46,2,FALSE)</f>
        <v>80765</v>
      </c>
      <c r="D17" s="29">
        <f>VLOOKUP($B17,'County Data'!$B$10:$L$46,8,FALSE)</f>
        <v>0.29099999999999998</v>
      </c>
      <c r="E17" s="31">
        <f t="shared" si="0"/>
        <v>23502.614999999998</v>
      </c>
      <c r="F17" s="6">
        <f t="shared" si="1"/>
        <v>3.0047846510687322E-2</v>
      </c>
      <c r="G17" s="14">
        <f t="shared" si="2"/>
        <v>2143.4130510956952</v>
      </c>
      <c r="H17" s="10">
        <f t="shared" si="3"/>
        <v>2.6538885050401723E-2</v>
      </c>
    </row>
    <row r="18" spans="2:8">
      <c r="B18" s="20" t="str">
        <f>+'County Data'!$B$31</f>
        <v>Linn</v>
      </c>
      <c r="C18" s="15">
        <f>VLOOKUP($B18,'County Data'!$B$10:$L$46,2,FALSE)</f>
        <v>125575</v>
      </c>
      <c r="D18" s="29">
        <f>VLOOKUP($B18,'County Data'!$B$10:$L$46,8,FALSE)</f>
        <v>0.316</v>
      </c>
      <c r="E18" s="31">
        <f t="shared" si="0"/>
        <v>39681.699999999997</v>
      </c>
      <c r="F18" s="6">
        <f t="shared" si="1"/>
        <v>5.0732636810122668E-2</v>
      </c>
      <c r="G18" s="14">
        <f t="shared" si="2"/>
        <v>3618.9280924554159</v>
      </c>
      <c r="H18" s="10">
        <f t="shared" si="3"/>
        <v>2.8818857992876097E-2</v>
      </c>
    </row>
    <row r="19" spans="2:8">
      <c r="B19" s="20" t="str">
        <f>+'County Data'!$B$27</f>
        <v>Klamath</v>
      </c>
      <c r="C19" s="15">
        <f>VLOOKUP($B19,'County Data'!$B$10:$L$46,2,FALSE)</f>
        <v>67960</v>
      </c>
      <c r="D19" s="29">
        <f>VLOOKUP($B19,'County Data'!$B$10:$L$46,8,FALSE)</f>
        <v>0.376</v>
      </c>
      <c r="E19" s="31">
        <f t="shared" si="0"/>
        <v>25552.959999999999</v>
      </c>
      <c r="F19" s="6">
        <f t="shared" si="1"/>
        <v>3.2669191065493465E-2</v>
      </c>
      <c r="G19" s="14">
        <f t="shared" si="2"/>
        <v>2330.4022960051998</v>
      </c>
      <c r="H19" s="10">
        <f t="shared" si="3"/>
        <v>3.429079305481459E-2</v>
      </c>
    </row>
    <row r="20" spans="2:8">
      <c r="B20" s="20" t="str">
        <f>+'County Data'!$B$30</f>
        <v>Lincoln</v>
      </c>
      <c r="C20" s="15">
        <f>VLOOKUP($B20,'County Data'!$B$10:$L$46,2,FALSE)</f>
        <v>48210</v>
      </c>
      <c r="D20" s="29">
        <f>VLOOKUP($B20,'County Data'!$B$10:$L$46,8,FALSE)</f>
        <v>0.376</v>
      </c>
      <c r="E20" s="31">
        <f t="shared" si="0"/>
        <v>18126.96</v>
      </c>
      <c r="F20" s="6">
        <f t="shared" si="1"/>
        <v>2.3175128035130076E-2</v>
      </c>
      <c r="G20" s="14">
        <f t="shared" si="2"/>
        <v>1653.1591331726115</v>
      </c>
      <c r="H20" s="10">
        <f t="shared" si="3"/>
        <v>3.429079305481459E-2</v>
      </c>
    </row>
    <row r="21" spans="2:8">
      <c r="B21" s="20" t="str">
        <f>+'County Data'!$B$15</f>
        <v>Coos</v>
      </c>
      <c r="C21" s="15">
        <f>VLOOKUP($B21,'County Data'!$B$10:$L$46,2,FALSE)</f>
        <v>63275</v>
      </c>
      <c r="D21" s="29">
        <f>VLOOKUP($B21,'County Data'!$B$10:$L$46,8,FALSE)</f>
        <v>0.38400000000000001</v>
      </c>
      <c r="E21" s="31">
        <f t="shared" si="0"/>
        <v>24297.600000000002</v>
      </c>
      <c r="F21" s="6">
        <f t="shared" si="1"/>
        <v>3.1064226486204893E-2</v>
      </c>
      <c r="G21" s="14">
        <f t="shared" si="2"/>
        <v>2215.9148226826151</v>
      </c>
      <c r="H21" s="10">
        <f t="shared" si="3"/>
        <v>3.5020384396406402E-2</v>
      </c>
    </row>
    <row r="22" spans="2:8">
      <c r="B22" s="20" t="str">
        <f>+'County Data'!$B$17</f>
        <v>Curry</v>
      </c>
      <c r="C22" s="15">
        <f>VLOOKUP($B22,'County Data'!$B$10:$L$46,2,FALSE)</f>
        <v>22915</v>
      </c>
      <c r="D22" s="29">
        <f>VLOOKUP($B22,'County Data'!$B$10:$L$46,8,FALSE)</f>
        <v>0.38700000000000001</v>
      </c>
      <c r="E22" s="31">
        <f t="shared" si="0"/>
        <v>8868.1049999999996</v>
      </c>
      <c r="F22" s="6">
        <f t="shared" si="1"/>
        <v>1.1337779131414049E-2</v>
      </c>
      <c r="G22" s="14">
        <f t="shared" si="2"/>
        <v>808.76157804086859</v>
      </c>
      <c r="H22" s="10">
        <f t="shared" si="3"/>
        <v>3.5293981149503321E-2</v>
      </c>
    </row>
    <row r="23" spans="2:8">
      <c r="B23" s="20" t="str">
        <f>+'County Data'!$B$13</f>
        <v>Clatsop</v>
      </c>
      <c r="C23" s="15">
        <f>VLOOKUP($B23,'County Data'!$B$10:$L$46,2,FALSE)</f>
        <v>39200</v>
      </c>
      <c r="D23" s="29">
        <f>VLOOKUP($B23,'County Data'!$B$10:$L$46,8,FALSE)</f>
        <v>0.39</v>
      </c>
      <c r="E23" s="31">
        <f t="shared" si="0"/>
        <v>15288</v>
      </c>
      <c r="F23" s="6">
        <f t="shared" si="1"/>
        <v>1.9545547482924253E-2</v>
      </c>
      <c r="G23" s="14">
        <f t="shared" si="2"/>
        <v>1394.2490537819297</v>
      </c>
      <c r="H23" s="10">
        <f t="shared" si="3"/>
        <v>3.5567577902600248E-2</v>
      </c>
    </row>
    <row r="24" spans="2:8">
      <c r="B24" s="20" t="str">
        <f>+'County Data'!$B$10</f>
        <v>Baker</v>
      </c>
      <c r="C24" s="15">
        <f>VLOOKUP($B24,'County Data'!$B$10:$L$46,2,FALSE)</f>
        <v>16765</v>
      </c>
      <c r="D24" s="29">
        <f>VLOOKUP($B24,'County Data'!$B$10:$L$46,8,FALSE)</f>
        <v>0.41</v>
      </c>
      <c r="E24" s="31">
        <f t="shared" si="0"/>
        <v>6873.65</v>
      </c>
      <c r="F24" s="6">
        <f t="shared" si="1"/>
        <v>8.7878893547882198E-3</v>
      </c>
      <c r="G24" s="14">
        <f t="shared" si="2"/>
        <v>626.86944064155955</v>
      </c>
      <c r="H24" s="10">
        <f t="shared" si="3"/>
        <v>3.739155625657975E-2</v>
      </c>
    </row>
    <row r="25" spans="2:8">
      <c r="B25" s="20" t="str">
        <f>+'County Data'!$B$19</f>
        <v>Douglas</v>
      </c>
      <c r="C25" s="15">
        <f>VLOOKUP($B25,'County Data'!$B$10:$L$46,2,FALSE)</f>
        <v>111735</v>
      </c>
      <c r="D25" s="29">
        <f>VLOOKUP($B25,'County Data'!$B$10:$L$46,8,FALSE)</f>
        <v>0.41199999999999998</v>
      </c>
      <c r="E25" s="31">
        <f t="shared" si="0"/>
        <v>46034.82</v>
      </c>
      <c r="F25" s="6">
        <f t="shared" si="1"/>
        <v>5.885503402524013E-2</v>
      </c>
      <c r="G25" s="14">
        <f t="shared" si="2"/>
        <v>4198.325760467128</v>
      </c>
      <c r="H25" s="10">
        <f t="shared" si="3"/>
        <v>3.7573954091977696E-2</v>
      </c>
    </row>
    <row r="26" spans="2:8">
      <c r="B26" s="20" t="str">
        <f>+'County Data'!$B$36</f>
        <v>Gilliam, Sherman, Wasco</v>
      </c>
      <c r="C26" s="15">
        <f>VLOOKUP($B26,'County Data'!$B$10:$L$46,2,FALSE)</f>
        <v>30970</v>
      </c>
      <c r="D26" s="29">
        <f>VLOOKUP($B26,'County Data'!$B$10:$L$46,8,FALSE)</f>
        <v>0.41499999999999998</v>
      </c>
      <c r="E26" s="31">
        <f t="shared" si="0"/>
        <v>12852.55</v>
      </c>
      <c r="F26" s="6">
        <f t="shared" si="1"/>
        <v>1.6431850229046186E-2</v>
      </c>
      <c r="G26" s="14">
        <f t="shared" si="2"/>
        <v>1172.138649671961</v>
      </c>
      <c r="H26" s="10">
        <f t="shared" si="3"/>
        <v>3.7847550845074622E-2</v>
      </c>
    </row>
    <row r="27" spans="2:8">
      <c r="B27" s="20" t="str">
        <f>+'County Data'!$B$41</f>
        <v>Union</v>
      </c>
      <c r="C27" s="15">
        <f>VLOOKUP($B27,'County Data'!$B$10:$L$46,2,FALSE)</f>
        <v>26885</v>
      </c>
      <c r="D27" s="29">
        <f>VLOOKUP($B27,'County Data'!$B$10:$L$46,8,FALSE)</f>
        <v>0.42099999999999999</v>
      </c>
      <c r="E27" s="31">
        <f t="shared" si="0"/>
        <v>11318.584999999999</v>
      </c>
      <c r="F27" s="6">
        <f t="shared" si="1"/>
        <v>1.4470692082483923E-2</v>
      </c>
      <c r="G27" s="14">
        <f t="shared" si="2"/>
        <v>1032.242701883853</v>
      </c>
      <c r="H27" s="10">
        <f t="shared" si="3"/>
        <v>3.8394744351268474E-2</v>
      </c>
    </row>
    <row r="28" spans="2:8">
      <c r="B28" s="20" t="str">
        <f>+'County Data'!$B$14</f>
        <v>Columbia</v>
      </c>
      <c r="C28" s="15">
        <f>VLOOKUP($B28,'County Data'!$B$10:$L$46,2,FALSE)</f>
        <v>51900</v>
      </c>
      <c r="D28" s="29">
        <f>VLOOKUP($B28,'County Data'!$B$10:$L$46,8,FALSE)</f>
        <v>0.436</v>
      </c>
      <c r="E28" s="31">
        <f t="shared" si="0"/>
        <v>22628.400000000001</v>
      </c>
      <c r="F28" s="6">
        <f t="shared" si="1"/>
        <v>2.8930171812048877E-2</v>
      </c>
      <c r="G28" s="14">
        <f t="shared" si="2"/>
        <v>2063.6855892594858</v>
      </c>
      <c r="H28" s="10">
        <f t="shared" si="3"/>
        <v>3.9762728116753097E-2</v>
      </c>
    </row>
    <row r="29" spans="2:8">
      <c r="B29" s="20" t="str">
        <f>+'County Data'!$B$22</f>
        <v>Harney</v>
      </c>
      <c r="C29" s="15">
        <f>VLOOKUP($B29,'County Data'!$B$10:$L$46,2,FALSE)</f>
        <v>7380</v>
      </c>
      <c r="D29" s="29">
        <f>VLOOKUP($B29,'County Data'!$B$10:$L$46,8,FALSE)</f>
        <v>0.443</v>
      </c>
      <c r="E29" s="31">
        <f t="shared" si="0"/>
        <v>3269.34</v>
      </c>
      <c r="F29" s="6">
        <f t="shared" si="1"/>
        <v>4.179816863410752E-3</v>
      </c>
      <c r="G29" s="14">
        <f t="shared" si="2"/>
        <v>298.1602695899669</v>
      </c>
      <c r="H29" s="10">
        <f t="shared" si="3"/>
        <v>4.0401120540645923E-2</v>
      </c>
    </row>
    <row r="30" spans="2:8">
      <c r="B30" s="20" t="str">
        <f>+'County Data'!$B$26</f>
        <v>Josephine</v>
      </c>
      <c r="C30" s="15">
        <f>VLOOKUP($B30,'County Data'!$B$10:$L$46,2,FALSE)</f>
        <v>86395</v>
      </c>
      <c r="D30" s="29">
        <f>VLOOKUP($B30,'County Data'!$B$10:$L$46,8,FALSE)</f>
        <v>0.45</v>
      </c>
      <c r="E30" s="31">
        <f t="shared" si="0"/>
        <v>38877.75</v>
      </c>
      <c r="F30" s="6">
        <f t="shared" si="1"/>
        <v>4.9704795176233545E-2</v>
      </c>
      <c r="G30" s="14">
        <f t="shared" si="2"/>
        <v>3545.6087225713254</v>
      </c>
      <c r="H30" s="10">
        <f t="shared" si="3"/>
        <v>4.1039512964538755E-2</v>
      </c>
    </row>
    <row r="31" spans="2:8">
      <c r="B31" s="20" t="str">
        <f>+'County Data'!$B$34</f>
        <v>Morrow</v>
      </c>
      <c r="C31" s="15">
        <f>VLOOKUP($B31,'County Data'!$B$10:$L$46,2,FALSE)</f>
        <v>11885</v>
      </c>
      <c r="D31" s="29">
        <f>VLOOKUP($B31,'County Data'!$B$10:$L$46,8,FALSE)</f>
        <v>0.45900000000000002</v>
      </c>
      <c r="E31" s="31">
        <f t="shared" si="0"/>
        <v>5455.2150000000001</v>
      </c>
      <c r="F31" s="6">
        <f t="shared" si="1"/>
        <v>6.9744351002132806E-3</v>
      </c>
      <c r="G31" s="14">
        <f t="shared" si="2"/>
        <v>497.50970381521387</v>
      </c>
      <c r="H31" s="10">
        <f t="shared" si="3"/>
        <v>4.1860303223829519E-2</v>
      </c>
    </row>
    <row r="32" spans="2:8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Data'!$B$10:$L$46,8,FALSE)</f>
        <v>0.48</v>
      </c>
      <c r="E32" s="31">
        <f t="shared" si="0"/>
        <v>10900.8</v>
      </c>
      <c r="F32" s="6">
        <f t="shared" si="1"/>
        <v>1.3936558346537198E-2</v>
      </c>
      <c r="G32" s="14">
        <f t="shared" si="2"/>
        <v>994.14116205298649</v>
      </c>
      <c r="H32" s="10">
        <f t="shared" si="3"/>
        <v>4.3775480495507994E-2</v>
      </c>
    </row>
    <row r="33" spans="2:8">
      <c r="B33" s="20" t="str">
        <f>+'County Data'!$B$32</f>
        <v>Malheur</v>
      </c>
      <c r="C33" s="15">
        <f>VLOOKUP($B33,'County Data'!$B$10:$L$46,2,FALSE)</f>
        <v>31925</v>
      </c>
      <c r="D33" s="29">
        <f>VLOOKUP($B33,'County Data'!$B$10:$L$46,8,FALSE)</f>
        <v>0.48399999999999999</v>
      </c>
      <c r="E33" s="31">
        <f t="shared" si="0"/>
        <v>15451.699999999999</v>
      </c>
      <c r="F33" s="6">
        <f t="shared" si="1"/>
        <v>1.9754836214148395E-2</v>
      </c>
      <c r="G33" s="14">
        <f t="shared" si="2"/>
        <v>1409.1783166092519</v>
      </c>
      <c r="H33" s="10">
        <f t="shared" si="3"/>
        <v>4.4140276166303893E-2</v>
      </c>
    </row>
    <row r="34" spans="2:8">
      <c r="B34" s="20" t="str">
        <f>+'County Data'!$B$23</f>
        <v>Hood River</v>
      </c>
      <c r="C34" s="15">
        <f>VLOOKUP($B34,'County Data'!$B$10:$L$46,2,FALSE)</f>
        <v>25310</v>
      </c>
      <c r="D34" s="29">
        <f>VLOOKUP($B34,'County Data'!$B$10:$L$46,8,FALSE)</f>
        <v>0.52200000000000002</v>
      </c>
      <c r="E34" s="31">
        <f t="shared" si="0"/>
        <v>13211.82</v>
      </c>
      <c r="F34" s="6">
        <f t="shared" si="1"/>
        <v>1.6891173151873908E-2</v>
      </c>
      <c r="G34" s="14">
        <f t="shared" si="2"/>
        <v>1204.9036848336718</v>
      </c>
      <c r="H34" s="10">
        <f t="shared" si="3"/>
        <v>4.7605835038864945E-2</v>
      </c>
    </row>
    <row r="35" spans="2:8">
      <c r="B35" s="20" t="str">
        <f>+'County Data'!$B$25</f>
        <v>Jefferson</v>
      </c>
      <c r="C35" s="15">
        <f>VLOOKUP($B35,'County Data'!$B$10:$L$46,2,FALSE)</f>
        <v>23560</v>
      </c>
      <c r="D35" s="29">
        <f>VLOOKUP($B35,'County Data'!$B$10:$L$46,8,FALSE)</f>
        <v>0.63100000000000001</v>
      </c>
      <c r="E35" s="31">
        <f t="shared" si="0"/>
        <v>14866.36</v>
      </c>
      <c r="F35" s="6">
        <f t="shared" si="1"/>
        <v>1.9006485169953284E-2</v>
      </c>
      <c r="G35" s="14">
        <f t="shared" si="2"/>
        <v>1355.7959421233338</v>
      </c>
      <c r="H35" s="10">
        <f t="shared" si="3"/>
        <v>5.7546517068053221E-2</v>
      </c>
    </row>
    <row r="36" spans="2:8">
      <c r="B36" s="20" t="str">
        <f>+'County Data'!$B$28</f>
        <v>Lake</v>
      </c>
      <c r="C36" s="15">
        <f>VLOOKUP($B36,'County Data'!$B$10:$L$46,2,FALSE)</f>
        <v>8115</v>
      </c>
      <c r="D36" s="29">
        <f>VLOOKUP($B36,'County Data'!$B$10:$L$46,8,FALSE)</f>
        <v>0.63300000000000001</v>
      </c>
      <c r="E36" s="31">
        <f t="shared" si="0"/>
        <v>5136.7950000000001</v>
      </c>
      <c r="F36" s="6">
        <f t="shared" si="1"/>
        <v>6.5673384734790613E-3</v>
      </c>
      <c r="G36" s="14">
        <f t="shared" si="2"/>
        <v>468.47014444150625</v>
      </c>
      <c r="H36" s="10">
        <f t="shared" si="3"/>
        <v>5.7728914903451167E-2</v>
      </c>
    </row>
    <row r="37" spans="2:8">
      <c r="B37" s="20" t="str">
        <f>+'County Data'!$B$39</f>
        <v>Tillamook</v>
      </c>
      <c r="C37" s="15">
        <f>VLOOKUP($B37,'County Data'!$B$10:$L$46,2,FALSE)</f>
        <v>26395</v>
      </c>
      <c r="D37" s="29">
        <f>VLOOKUP($B37,'County Data'!$B$10:$L$46,8,FALSE)</f>
        <v>0.69599999999999995</v>
      </c>
      <c r="E37" s="31">
        <f t="shared" si="0"/>
        <v>18370.919999999998</v>
      </c>
      <c r="F37" s="6">
        <f t="shared" si="1"/>
        <v>2.3487028333660571E-2</v>
      </c>
      <c r="G37" s="14">
        <f t="shared" si="2"/>
        <v>1675.4080211344537</v>
      </c>
      <c r="H37" s="10">
        <f t="shared" si="3"/>
        <v>6.3474446718486593E-2</v>
      </c>
    </row>
    <row r="38" spans="2:8">
      <c r="B38" s="20" t="str">
        <f>+'County Data'!$B$21</f>
        <v>Grant</v>
      </c>
      <c r="C38" s="15">
        <f>VLOOKUP($B38,'County Data'!$B$10:$L$46,2,FALSE)</f>
        <v>7400</v>
      </c>
      <c r="D38" s="29">
        <f>VLOOKUP($B38,'County Data'!$B$10:$L$46,8,FALSE)</f>
        <v>1</v>
      </c>
      <c r="E38" s="31">
        <f t="shared" si="0"/>
        <v>7400</v>
      </c>
      <c r="F38" s="6">
        <f t="shared" si="1"/>
        <v>9.4608223033516136E-3</v>
      </c>
      <c r="G38" s="14">
        <f t="shared" si="2"/>
        <v>674.87199097241489</v>
      </c>
      <c r="H38" s="10">
        <f t="shared" si="3"/>
        <v>9.1198917698974979E-2</v>
      </c>
    </row>
    <row r="39" spans="2:8">
      <c r="B39" s="20" t="str">
        <f>+'County Data'!$B$42</f>
        <v>Wallowa</v>
      </c>
      <c r="C39" s="15">
        <f>VLOOKUP($B39,'County Data'!$B$10:$L$46,2,FALSE)</f>
        <v>7175</v>
      </c>
      <c r="D39" s="29">
        <f>VLOOKUP($B39,'County Data'!$B$10:$L$46,8,FALSE)</f>
        <v>1</v>
      </c>
      <c r="E39" s="31">
        <f t="shared" si="0"/>
        <v>7175</v>
      </c>
      <c r="F39" s="6">
        <f t="shared" si="1"/>
        <v>9.1731621657497077E-3</v>
      </c>
      <c r="G39" s="14">
        <f t="shared" si="2"/>
        <v>654.35223449014563</v>
      </c>
      <c r="H39" s="10">
        <f t="shared" si="3"/>
        <v>9.1198917698975007E-2</v>
      </c>
    </row>
    <row r="40" spans="2:8">
      <c r="B40" s="20" t="str">
        <f>'County Data'!$B$45</f>
        <v>Wheeler</v>
      </c>
      <c r="C40" s="15">
        <f>VLOOKUP($B40,'County Data'!$B$10:$L$46,2,FALSE)</f>
        <v>1450</v>
      </c>
      <c r="D40" s="29">
        <f>VLOOKUP($B40,'County Data'!$B$10:$L$46,8,FALSE)</f>
        <v>1</v>
      </c>
      <c r="E40" s="31">
        <f t="shared" si="0"/>
        <v>1450</v>
      </c>
      <c r="F40" s="6">
        <f t="shared" si="1"/>
        <v>1.8538097756567353E-3</v>
      </c>
      <c r="G40" s="14">
        <f t="shared" si="2"/>
        <v>132.23843066351375</v>
      </c>
      <c r="H40" s="10">
        <f t="shared" si="3"/>
        <v>9.1198917698975007E-2</v>
      </c>
    </row>
    <row r="41" spans="2:8">
      <c r="B41" s="4" t="s">
        <v>2</v>
      </c>
      <c r="C41" s="5">
        <f>SUM(C7:C40)</f>
        <v>4195300</v>
      </c>
      <c r="D41" s="5">
        <f>SUM(D7:D40)</f>
        <v>14.057999999999998</v>
      </c>
      <c r="E41" s="5">
        <f>SUM(E7:E40)</f>
        <v>782173.02500000002</v>
      </c>
      <c r="F41" s="8">
        <f>SUM(F7:F40)</f>
        <v>1</v>
      </c>
      <c r="G41" s="11">
        <f>SUM(G7:G40)</f>
        <v>71333.333333333314</v>
      </c>
      <c r="H41" s="12">
        <f>G41/C41</f>
        <v>1.7003154323488978E-2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</vt:vector>
  </TitlesOfParts>
  <Company>Oregon 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Morgan D. Cowling</cp:lastModifiedBy>
  <cp:lastPrinted>2020-06-22T16:07:56Z</cp:lastPrinted>
  <dcterms:created xsi:type="dcterms:W3CDTF">2016-05-10T19:52:04Z</dcterms:created>
  <dcterms:modified xsi:type="dcterms:W3CDTF">2020-08-13T18:58:56Z</dcterms:modified>
</cp:coreProperties>
</file>