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AGRH Programs\Reproductive Health\Title X\Title X Funding Formula\FY19\"/>
    </mc:Choice>
  </mc:AlternateContent>
  <bookViews>
    <workbookView xWindow="0" yWindow="0" windowWidth="25200" windowHeight="12570"/>
  </bookViews>
  <sheets>
    <sheet name="Summary" sheetId="1" r:id="rId1"/>
    <sheet name="Compare old and new formula" sheetId="14" state="hidden" r:id="rId2"/>
    <sheet name="WIN" sheetId="2" state="hidden" r:id="rId3"/>
    <sheet name="CT" sheetId="13" state="hidden" r:id="rId4"/>
    <sheet name="Ethnicity" sheetId="9" state="hidden" r:id="rId5"/>
    <sheet name="Language" sheetId="10" state="hidden" r:id="rId6"/>
    <sheet name="UrbanRural" sheetId="8" state="hidden" r:id="rId7"/>
    <sheet name="Poverty" sheetId="12" state="hidden" r:id="rId8"/>
  </sheets>
  <definedNames>
    <definedName name="IDX" localSheetId="3">CT!$A$1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8" i="1" l="1"/>
  <c r="O38" i="1"/>
  <c r="N38" i="1"/>
  <c r="M38" i="1"/>
  <c r="P37" i="1"/>
  <c r="O37" i="1"/>
  <c r="N37" i="1"/>
  <c r="M37" i="1"/>
  <c r="P36" i="1"/>
  <c r="O36" i="1"/>
  <c r="N36" i="1"/>
  <c r="M36" i="1"/>
  <c r="P35" i="1"/>
  <c r="O35" i="1"/>
  <c r="N35" i="1"/>
  <c r="M35" i="1"/>
  <c r="P34" i="1"/>
  <c r="O34" i="1"/>
  <c r="N34" i="1"/>
  <c r="M34" i="1"/>
  <c r="P33" i="1"/>
  <c r="O33" i="1"/>
  <c r="N33" i="1"/>
  <c r="M33" i="1"/>
  <c r="P32" i="1"/>
  <c r="O32" i="1"/>
  <c r="N32" i="1"/>
  <c r="M32" i="1"/>
  <c r="P31" i="1"/>
  <c r="O31" i="1"/>
  <c r="N31" i="1"/>
  <c r="M31" i="1"/>
  <c r="P30" i="1"/>
  <c r="O30" i="1"/>
  <c r="N30" i="1"/>
  <c r="M30" i="1"/>
  <c r="P29" i="1"/>
  <c r="O29" i="1"/>
  <c r="N29" i="1"/>
  <c r="M29" i="1"/>
  <c r="P28" i="1"/>
  <c r="O28" i="1"/>
  <c r="N28" i="1"/>
  <c r="M28" i="1"/>
  <c r="P27" i="1"/>
  <c r="O27" i="1"/>
  <c r="N27" i="1"/>
  <c r="M27" i="1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39" i="1"/>
  <c r="K4" i="14"/>
  <c r="K5" i="14"/>
  <c r="K6" i="14"/>
  <c r="K7" i="14"/>
  <c r="K8" i="14"/>
  <c r="K9" i="14"/>
  <c r="K10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" i="14"/>
  <c r="M37" i="13" l="1"/>
  <c r="N30" i="13" s="1"/>
  <c r="O30" i="13" s="1"/>
  <c r="I45" i="13"/>
  <c r="L45" i="13"/>
  <c r="H45" i="13"/>
  <c r="I44" i="13"/>
  <c r="L44" i="13"/>
  <c r="H44" i="13"/>
  <c r="I43" i="13"/>
  <c r="L43" i="13"/>
  <c r="H43" i="13"/>
  <c r="F37" i="13"/>
  <c r="D37" i="13"/>
  <c r="B37" i="13"/>
  <c r="I27" i="13"/>
  <c r="L27" i="13"/>
  <c r="H27" i="13"/>
  <c r="I34" i="13"/>
  <c r="L34" i="13"/>
  <c r="H34" i="13"/>
  <c r="I25" i="13"/>
  <c r="L25" i="13"/>
  <c r="H25" i="13"/>
  <c r="I21" i="13"/>
  <c r="L21" i="13"/>
  <c r="H21" i="13"/>
  <c r="I5" i="13"/>
  <c r="L5" i="13"/>
  <c r="H5" i="13"/>
  <c r="I16" i="13"/>
  <c r="L16" i="13"/>
  <c r="H16" i="13"/>
  <c r="I17" i="13"/>
  <c r="L17" i="13"/>
  <c r="H17" i="13"/>
  <c r="I11" i="13"/>
  <c r="L11" i="13"/>
  <c r="H11" i="13"/>
  <c r="I4" i="13"/>
  <c r="L4" i="13"/>
  <c r="H4" i="13"/>
  <c r="I23" i="13"/>
  <c r="L23" i="13"/>
  <c r="H23" i="13"/>
  <c r="I19" i="13"/>
  <c r="L19" i="13"/>
  <c r="H19" i="13"/>
  <c r="I36" i="13"/>
  <c r="L36" i="13"/>
  <c r="H36" i="13"/>
  <c r="I31" i="13"/>
  <c r="L31" i="13"/>
  <c r="H31" i="13"/>
  <c r="I29" i="13"/>
  <c r="L29" i="13"/>
  <c r="H29" i="13"/>
  <c r="I18" i="13"/>
  <c r="L18" i="13"/>
  <c r="H18" i="13"/>
  <c r="I32" i="13"/>
  <c r="L32" i="13"/>
  <c r="H32" i="13"/>
  <c r="I12" i="13"/>
  <c r="L12" i="13"/>
  <c r="H12" i="13"/>
  <c r="I24" i="13"/>
  <c r="L24" i="13"/>
  <c r="H24" i="13"/>
  <c r="I6" i="13"/>
  <c r="L6" i="13"/>
  <c r="H6" i="13"/>
  <c r="I15" i="13"/>
  <c r="L15" i="13"/>
  <c r="H15" i="13"/>
  <c r="I3" i="13"/>
  <c r="L3" i="13"/>
  <c r="H3" i="13"/>
  <c r="I8" i="13"/>
  <c r="L8" i="13"/>
  <c r="H8" i="13"/>
  <c r="I7" i="13"/>
  <c r="L7" i="13"/>
  <c r="H7" i="13"/>
  <c r="I22" i="13"/>
  <c r="L22" i="13"/>
  <c r="H22" i="13"/>
  <c r="I9" i="13"/>
  <c r="L9" i="13"/>
  <c r="H9" i="13"/>
  <c r="I26" i="13"/>
  <c r="L26" i="13"/>
  <c r="H26" i="13"/>
  <c r="I14" i="13"/>
  <c r="L14" i="13"/>
  <c r="H14" i="13"/>
  <c r="I20" i="13"/>
  <c r="L20" i="13"/>
  <c r="H20" i="13"/>
  <c r="I30" i="13"/>
  <c r="L30" i="13"/>
  <c r="H30" i="13"/>
  <c r="I10" i="13"/>
  <c r="L10" i="13"/>
  <c r="H10" i="13"/>
  <c r="I33" i="13"/>
  <c r="L33" i="13"/>
  <c r="H33" i="13"/>
  <c r="I35" i="13"/>
  <c r="L35" i="13"/>
  <c r="H35" i="13"/>
  <c r="I13" i="13"/>
  <c r="L13" i="13"/>
  <c r="H13" i="13"/>
  <c r="N9" i="13" l="1"/>
  <c r="O9" i="13" s="1"/>
  <c r="N13" i="13"/>
  <c r="O13" i="13" s="1"/>
  <c r="N15" i="13"/>
  <c r="O15" i="13" s="1"/>
  <c r="N3" i="13"/>
  <c r="O3" i="13" s="1"/>
  <c r="N8" i="13"/>
  <c r="O8" i="13" s="1"/>
  <c r="N7" i="13"/>
  <c r="O7" i="13" s="1"/>
  <c r="N22" i="13"/>
  <c r="O22" i="13" s="1"/>
  <c r="N26" i="13"/>
  <c r="O26" i="13" s="1"/>
  <c r="N14" i="13"/>
  <c r="O14" i="13" s="1"/>
  <c r="N20" i="13"/>
  <c r="O20" i="13" s="1"/>
  <c r="N10" i="13"/>
  <c r="O10" i="13" s="1"/>
  <c r="N33" i="13"/>
  <c r="O33" i="13" s="1"/>
  <c r="N35" i="13"/>
  <c r="O35" i="13" s="1"/>
  <c r="N27" i="13"/>
  <c r="O27" i="13" s="1"/>
  <c r="H37" i="13"/>
  <c r="I37" i="13"/>
  <c r="J43" i="13" s="1"/>
  <c r="J45" i="13"/>
  <c r="J44" i="13"/>
  <c r="J3" i="13"/>
  <c r="K3" i="13" s="1"/>
  <c r="P3" i="13" s="1"/>
  <c r="J8" i="13"/>
  <c r="K8" i="13" s="1"/>
  <c r="P8" i="13" s="1"/>
  <c r="J22" i="13"/>
  <c r="K22" i="13" s="1"/>
  <c r="P22" i="13" s="1"/>
  <c r="J26" i="13"/>
  <c r="K26" i="13" s="1"/>
  <c r="P26" i="13" s="1"/>
  <c r="J20" i="13"/>
  <c r="K20" i="13" s="1"/>
  <c r="J30" i="13"/>
  <c r="K30" i="13" s="1"/>
  <c r="P30" i="13" s="1"/>
  <c r="J35" i="13"/>
  <c r="K35" i="13" s="1"/>
  <c r="J13" i="13"/>
  <c r="K13" i="13" s="1"/>
  <c r="J25" i="13"/>
  <c r="K25" i="13" s="1"/>
  <c r="J16" i="13"/>
  <c r="K16" i="13" s="1"/>
  <c r="J11" i="13"/>
  <c r="K11" i="13" s="1"/>
  <c r="J23" i="13"/>
  <c r="K23" i="13" s="1"/>
  <c r="J31" i="13"/>
  <c r="K31" i="13" s="1"/>
  <c r="J12" i="13"/>
  <c r="K12" i="13" s="1"/>
  <c r="J24" i="13"/>
  <c r="K24" i="13" s="1"/>
  <c r="J37" i="13"/>
  <c r="J27" i="13"/>
  <c r="K27" i="13" s="1"/>
  <c r="J34" i="13"/>
  <c r="K34" i="13" s="1"/>
  <c r="J29" i="13"/>
  <c r="K29" i="13" s="1"/>
  <c r="J18" i="13"/>
  <c r="K18" i="13" s="1"/>
  <c r="N28" i="13"/>
  <c r="O28" i="13" s="1"/>
  <c r="N6" i="13"/>
  <c r="O6" i="13" s="1"/>
  <c r="N24" i="13"/>
  <c r="O24" i="13" s="1"/>
  <c r="N12" i="13"/>
  <c r="O12" i="13" s="1"/>
  <c r="N32" i="13"/>
  <c r="O32" i="13" s="1"/>
  <c r="N18" i="13"/>
  <c r="O18" i="13" s="1"/>
  <c r="N29" i="13"/>
  <c r="O29" i="13" s="1"/>
  <c r="N31" i="13"/>
  <c r="O31" i="13" s="1"/>
  <c r="N36" i="13"/>
  <c r="O36" i="13" s="1"/>
  <c r="N19" i="13"/>
  <c r="O19" i="13" s="1"/>
  <c r="N23" i="13"/>
  <c r="O23" i="13" s="1"/>
  <c r="N4" i="13"/>
  <c r="O4" i="13" s="1"/>
  <c r="N11" i="13"/>
  <c r="O11" i="13" s="1"/>
  <c r="N17" i="13"/>
  <c r="O17" i="13" s="1"/>
  <c r="N16" i="13"/>
  <c r="O16" i="13" s="1"/>
  <c r="N5" i="13"/>
  <c r="O5" i="13" s="1"/>
  <c r="N21" i="13"/>
  <c r="O21" i="13" s="1"/>
  <c r="N25" i="13"/>
  <c r="O25" i="13" s="1"/>
  <c r="N34" i="13"/>
  <c r="O34" i="13" s="1"/>
  <c r="E17" i="12"/>
  <c r="E19" i="12"/>
  <c r="E27" i="12"/>
  <c r="E33" i="12"/>
  <c r="E37" i="12"/>
  <c r="P13" i="13" l="1"/>
  <c r="J19" i="13"/>
  <c r="K19" i="13" s="1"/>
  <c r="P19" i="13" s="1"/>
  <c r="J6" i="13"/>
  <c r="K6" i="13" s="1"/>
  <c r="J36" i="13"/>
  <c r="K36" i="13" s="1"/>
  <c r="J5" i="13"/>
  <c r="K5" i="13" s="1"/>
  <c r="J10" i="13"/>
  <c r="K10" i="13" s="1"/>
  <c r="P10" i="13" s="1"/>
  <c r="J9" i="13"/>
  <c r="K9" i="13" s="1"/>
  <c r="P9" i="13" s="1"/>
  <c r="J15" i="13"/>
  <c r="K15" i="13" s="1"/>
  <c r="P15" i="13" s="1"/>
  <c r="E25" i="12"/>
  <c r="E35" i="12"/>
  <c r="E9" i="12"/>
  <c r="E13" i="12"/>
  <c r="E29" i="12"/>
  <c r="E24" i="12"/>
  <c r="E11" i="12"/>
  <c r="E8" i="12"/>
  <c r="E40" i="12"/>
  <c r="E36" i="12"/>
  <c r="E28" i="12"/>
  <c r="E12" i="12"/>
  <c r="E31" i="12"/>
  <c r="E21" i="12"/>
  <c r="E15" i="12"/>
  <c r="E7" i="12"/>
  <c r="P27" i="13"/>
  <c r="P20" i="13"/>
  <c r="P35" i="13"/>
  <c r="P12" i="13"/>
  <c r="P23" i="13"/>
  <c r="P5" i="13"/>
  <c r="J17" i="13"/>
  <c r="K17" i="13" s="1"/>
  <c r="J28" i="13"/>
  <c r="K28" i="13" s="1"/>
  <c r="J32" i="13"/>
  <c r="K32" i="13" s="1"/>
  <c r="J4" i="13"/>
  <c r="K4" i="13" s="1"/>
  <c r="P4" i="13" s="1"/>
  <c r="J21" i="13"/>
  <c r="K21" i="13" s="1"/>
  <c r="P21" i="13" s="1"/>
  <c r="J33" i="13"/>
  <c r="K33" i="13" s="1"/>
  <c r="P33" i="13" s="1"/>
  <c r="J14" i="13"/>
  <c r="K14" i="13" s="1"/>
  <c r="P14" i="13" s="1"/>
  <c r="J7" i="13"/>
  <c r="K7" i="13" s="1"/>
  <c r="P7" i="13" s="1"/>
  <c r="P17" i="13"/>
  <c r="P28" i="13"/>
  <c r="P32" i="13"/>
  <c r="P18" i="13"/>
  <c r="P34" i="13"/>
  <c r="P6" i="13"/>
  <c r="P31" i="13"/>
  <c r="P11" i="13"/>
  <c r="P25" i="13"/>
  <c r="P29" i="13"/>
  <c r="P24" i="13"/>
  <c r="P36" i="13"/>
  <c r="P16" i="13"/>
  <c r="E20" i="12"/>
  <c r="E32" i="12"/>
  <c r="E16" i="12"/>
  <c r="E39" i="12"/>
  <c r="E23" i="12"/>
  <c r="C49" i="8"/>
  <c r="E49" i="8"/>
  <c r="G49" i="8"/>
  <c r="I49" i="8"/>
  <c r="B49" i="8"/>
  <c r="I47" i="8"/>
  <c r="E47" i="8"/>
  <c r="J47" i="8" s="1"/>
  <c r="C47" i="8"/>
  <c r="D47" i="8" s="1"/>
  <c r="B47" i="8"/>
  <c r="K45" i="8"/>
  <c r="J45" i="8"/>
  <c r="F45" i="8"/>
  <c r="G45" i="8" s="1"/>
  <c r="H45" i="8" s="1"/>
  <c r="D45" i="8"/>
  <c r="J44" i="8"/>
  <c r="K44" i="8" s="1"/>
  <c r="G44" i="8"/>
  <c r="H44" i="8" s="1"/>
  <c r="D44" i="8"/>
  <c r="J43" i="8"/>
  <c r="K43" i="8" s="1"/>
  <c r="G43" i="8"/>
  <c r="H43" i="8" s="1"/>
  <c r="F43" i="8"/>
  <c r="D43" i="8"/>
  <c r="J42" i="8"/>
  <c r="K42" i="8" s="1"/>
  <c r="F42" i="8"/>
  <c r="G42" i="8" s="1"/>
  <c r="H42" i="8" s="1"/>
  <c r="D42" i="8"/>
  <c r="J41" i="8"/>
  <c r="K41" i="8" s="1"/>
  <c r="G41" i="8"/>
  <c r="H41" i="8" s="1"/>
  <c r="D41" i="8"/>
  <c r="J40" i="8"/>
  <c r="K40" i="8" s="1"/>
  <c r="F40" i="8"/>
  <c r="G40" i="8" s="1"/>
  <c r="H40" i="8" s="1"/>
  <c r="D40" i="8"/>
  <c r="K39" i="8"/>
  <c r="J39" i="8"/>
  <c r="F39" i="8"/>
  <c r="G39" i="8" s="1"/>
  <c r="H39" i="8" s="1"/>
  <c r="D39" i="8"/>
  <c r="J38" i="8"/>
  <c r="K38" i="8" s="1"/>
  <c r="F38" i="8"/>
  <c r="G38" i="8" s="1"/>
  <c r="H38" i="8" s="1"/>
  <c r="D38" i="8"/>
  <c r="J37" i="8"/>
  <c r="K37" i="8" s="1"/>
  <c r="H37" i="8"/>
  <c r="L37" i="8" s="1"/>
  <c r="G37" i="8"/>
  <c r="D37" i="8"/>
  <c r="J36" i="8"/>
  <c r="K36" i="8" s="1"/>
  <c r="F36" i="8"/>
  <c r="G36" i="8" s="1"/>
  <c r="H36" i="8" s="1"/>
  <c r="D36" i="8"/>
  <c r="J35" i="8"/>
  <c r="K35" i="8" s="1"/>
  <c r="F35" i="8"/>
  <c r="G35" i="8" s="1"/>
  <c r="H35" i="8" s="1"/>
  <c r="L35" i="8" s="1"/>
  <c r="D35" i="8"/>
  <c r="J34" i="8"/>
  <c r="K34" i="8" s="1"/>
  <c r="F34" i="8"/>
  <c r="G34" i="8" s="1"/>
  <c r="H34" i="8" s="1"/>
  <c r="D34" i="8"/>
  <c r="J33" i="8"/>
  <c r="K33" i="8" s="1"/>
  <c r="F33" i="8"/>
  <c r="G33" i="8" s="1"/>
  <c r="H33" i="8" s="1"/>
  <c r="L33" i="8" s="1"/>
  <c r="D33" i="8"/>
  <c r="K32" i="8"/>
  <c r="J32" i="8"/>
  <c r="F32" i="8"/>
  <c r="G32" i="8" s="1"/>
  <c r="H32" i="8" s="1"/>
  <c r="L32" i="8" s="1"/>
  <c r="D32" i="8"/>
  <c r="J31" i="8"/>
  <c r="K31" i="8" s="1"/>
  <c r="F31" i="8"/>
  <c r="G31" i="8" s="1"/>
  <c r="H31" i="8" s="1"/>
  <c r="D31" i="8"/>
  <c r="J30" i="8"/>
  <c r="K30" i="8" s="1"/>
  <c r="F30" i="8"/>
  <c r="G30" i="8" s="1"/>
  <c r="H30" i="8" s="1"/>
  <c r="L30" i="8" s="1"/>
  <c r="D30" i="8"/>
  <c r="J29" i="8"/>
  <c r="K29" i="8" s="1"/>
  <c r="G29" i="8"/>
  <c r="H29" i="8" s="1"/>
  <c r="L29" i="8" s="1"/>
  <c r="F29" i="8"/>
  <c r="D29" i="8"/>
  <c r="J28" i="8"/>
  <c r="K28" i="8" s="1"/>
  <c r="F28" i="8"/>
  <c r="G28" i="8" s="1"/>
  <c r="H28" i="8" s="1"/>
  <c r="D28" i="8"/>
  <c r="J27" i="8"/>
  <c r="K27" i="8" s="1"/>
  <c r="F27" i="8"/>
  <c r="G27" i="8" s="1"/>
  <c r="H27" i="8" s="1"/>
  <c r="D27" i="8"/>
  <c r="J26" i="8"/>
  <c r="K26" i="8" s="1"/>
  <c r="F26" i="8"/>
  <c r="G26" i="8" s="1"/>
  <c r="H26" i="8" s="1"/>
  <c r="D26" i="8"/>
  <c r="J25" i="8"/>
  <c r="K25" i="8" s="1"/>
  <c r="F25" i="8"/>
  <c r="G25" i="8" s="1"/>
  <c r="H25" i="8" s="1"/>
  <c r="L25" i="8" s="1"/>
  <c r="D25" i="8"/>
  <c r="K24" i="8"/>
  <c r="J24" i="8"/>
  <c r="F24" i="8"/>
  <c r="G24" i="8" s="1"/>
  <c r="H24" i="8" s="1"/>
  <c r="D24" i="8"/>
  <c r="J23" i="8"/>
  <c r="K23" i="8" s="1"/>
  <c r="F23" i="8"/>
  <c r="G23" i="8" s="1"/>
  <c r="H23" i="8" s="1"/>
  <c r="D23" i="8"/>
  <c r="J22" i="8"/>
  <c r="K22" i="8" s="1"/>
  <c r="F22" i="8"/>
  <c r="G22" i="8" s="1"/>
  <c r="H22" i="8" s="1"/>
  <c r="L22" i="8" s="1"/>
  <c r="D22" i="8"/>
  <c r="J21" i="8"/>
  <c r="K21" i="8" s="1"/>
  <c r="G21" i="8"/>
  <c r="H21" i="8" s="1"/>
  <c r="L21" i="8" s="1"/>
  <c r="F21" i="8"/>
  <c r="D21" i="8"/>
  <c r="J20" i="8"/>
  <c r="J49" i="8" s="1"/>
  <c r="F20" i="8"/>
  <c r="G20" i="8" s="1"/>
  <c r="H20" i="8" s="1"/>
  <c r="H49" i="8" s="1"/>
  <c r="D20" i="8"/>
  <c r="D49" i="8" s="1"/>
  <c r="J19" i="8"/>
  <c r="K19" i="8" s="1"/>
  <c r="F19" i="8"/>
  <c r="G19" i="8" s="1"/>
  <c r="H19" i="8" s="1"/>
  <c r="D19" i="8"/>
  <c r="J18" i="8"/>
  <c r="K18" i="8" s="1"/>
  <c r="F18" i="8"/>
  <c r="G18" i="8" s="1"/>
  <c r="H18" i="8" s="1"/>
  <c r="D18" i="8"/>
  <c r="J17" i="8"/>
  <c r="K17" i="8" s="1"/>
  <c r="F17" i="8"/>
  <c r="G17" i="8" s="1"/>
  <c r="H17" i="8" s="1"/>
  <c r="L17" i="8" s="1"/>
  <c r="D17" i="8"/>
  <c r="J16" i="8"/>
  <c r="K16" i="8" s="1"/>
  <c r="L16" i="8" s="1"/>
  <c r="G16" i="8"/>
  <c r="H16" i="8" s="1"/>
  <c r="D16" i="8"/>
  <c r="J15" i="8"/>
  <c r="K15" i="8" s="1"/>
  <c r="F15" i="8"/>
  <c r="G15" i="8" s="1"/>
  <c r="H15" i="8" s="1"/>
  <c r="L15" i="8" s="1"/>
  <c r="D15" i="8"/>
  <c r="J14" i="8"/>
  <c r="K14" i="8" s="1"/>
  <c r="F14" i="8"/>
  <c r="G14" i="8" s="1"/>
  <c r="H14" i="8" s="1"/>
  <c r="L14" i="8" s="1"/>
  <c r="D14" i="8"/>
  <c r="K13" i="8"/>
  <c r="J13" i="8"/>
  <c r="F13" i="8"/>
  <c r="G13" i="8" s="1"/>
  <c r="H13" i="8" s="1"/>
  <c r="L13" i="8" s="1"/>
  <c r="D13" i="8"/>
  <c r="J12" i="8"/>
  <c r="K12" i="8" s="1"/>
  <c r="F12" i="8"/>
  <c r="G12" i="8" s="1"/>
  <c r="H12" i="8" s="1"/>
  <c r="D12" i="8"/>
  <c r="J11" i="8"/>
  <c r="K11" i="8" s="1"/>
  <c r="F11" i="8"/>
  <c r="G11" i="8" s="1"/>
  <c r="H11" i="8" s="1"/>
  <c r="L11" i="8" s="1"/>
  <c r="D11" i="8"/>
  <c r="J10" i="8"/>
  <c r="K10" i="8" s="1"/>
  <c r="G10" i="8"/>
  <c r="H10" i="8" s="1"/>
  <c r="D10" i="8"/>
  <c r="L1" i="8"/>
  <c r="H41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7" i="2"/>
  <c r="G38" i="2"/>
  <c r="G37" i="2"/>
  <c r="G33" i="2"/>
  <c r="G29" i="2"/>
  <c r="G28" i="2"/>
  <c r="G26" i="2"/>
  <c r="G25" i="2"/>
  <c r="G22" i="2"/>
  <c r="G21" i="2"/>
  <c r="G17" i="2"/>
  <c r="G13" i="2"/>
  <c r="G12" i="2"/>
  <c r="G10" i="2"/>
  <c r="G9" i="2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E14" i="12" l="1"/>
  <c r="E17" i="10"/>
  <c r="E13" i="10"/>
  <c r="U24" i="1"/>
  <c r="U35" i="1"/>
  <c r="U38" i="1"/>
  <c r="E30" i="12"/>
  <c r="E22" i="9"/>
  <c r="U31" i="1"/>
  <c r="T7" i="1"/>
  <c r="T13" i="1"/>
  <c r="T17" i="1"/>
  <c r="T21" i="1"/>
  <c r="T23" i="1"/>
  <c r="T27" i="1"/>
  <c r="T29" i="1"/>
  <c r="T31" i="1"/>
  <c r="T33" i="1"/>
  <c r="T35" i="1"/>
  <c r="T37" i="1"/>
  <c r="T9" i="1"/>
  <c r="T11" i="1"/>
  <c r="T15" i="1"/>
  <c r="T19" i="1"/>
  <c r="T25" i="1"/>
  <c r="T6" i="1"/>
  <c r="T8" i="1"/>
  <c r="T10" i="1"/>
  <c r="T12" i="1"/>
  <c r="T14" i="1"/>
  <c r="T16" i="1"/>
  <c r="T18" i="1"/>
  <c r="T20" i="1"/>
  <c r="T22" i="1"/>
  <c r="T24" i="1"/>
  <c r="T26" i="1"/>
  <c r="T28" i="1"/>
  <c r="T30" i="1"/>
  <c r="T32" i="1"/>
  <c r="T34" i="1"/>
  <c r="T36" i="1"/>
  <c r="T38" i="1"/>
  <c r="D39" i="1"/>
  <c r="Q5" i="1"/>
  <c r="U11" i="1" s="1"/>
  <c r="E14" i="10"/>
  <c r="E32" i="10"/>
  <c r="E10" i="10"/>
  <c r="E8" i="10"/>
  <c r="E11" i="10"/>
  <c r="E9" i="10"/>
  <c r="E18" i="9"/>
  <c r="E20" i="9"/>
  <c r="E40" i="9"/>
  <c r="E16" i="9"/>
  <c r="E23" i="9"/>
  <c r="E10" i="12"/>
  <c r="E34" i="12"/>
  <c r="E38" i="12"/>
  <c r="E26" i="12"/>
  <c r="E18" i="12"/>
  <c r="E22" i="12"/>
  <c r="C41" i="12"/>
  <c r="C39" i="1"/>
  <c r="S9" i="1" s="1"/>
  <c r="L40" i="8"/>
  <c r="E39" i="9"/>
  <c r="E27" i="9"/>
  <c r="L18" i="8"/>
  <c r="K20" i="8"/>
  <c r="K49" i="8" s="1"/>
  <c r="L28" i="8"/>
  <c r="L34" i="8"/>
  <c r="E8" i="9"/>
  <c r="E15" i="9"/>
  <c r="E38" i="9"/>
  <c r="E29" i="9"/>
  <c r="E24" i="10"/>
  <c r="E15" i="10"/>
  <c r="E33" i="10"/>
  <c r="E35" i="10"/>
  <c r="E28" i="10"/>
  <c r="L24" i="8"/>
  <c r="L20" i="8"/>
  <c r="L49" i="8" s="1"/>
  <c r="L26" i="8"/>
  <c r="L43" i="8"/>
  <c r="F49" i="8"/>
  <c r="E7" i="9"/>
  <c r="E26" i="9"/>
  <c r="E19" i="9"/>
  <c r="E39" i="10"/>
  <c r="E34" i="10"/>
  <c r="E29" i="10"/>
  <c r="E38" i="10"/>
  <c r="E7" i="10"/>
  <c r="E22" i="10"/>
  <c r="E36" i="10"/>
  <c r="E25" i="10"/>
  <c r="E23" i="10"/>
  <c r="E20" i="10"/>
  <c r="E40" i="10"/>
  <c r="E21" i="10"/>
  <c r="E31" i="10"/>
  <c r="E30" i="10"/>
  <c r="E19" i="10"/>
  <c r="E25" i="9"/>
  <c r="E9" i="9"/>
  <c r="E36" i="9"/>
  <c r="E12" i="9"/>
  <c r="E13" i="9"/>
  <c r="E10" i="9"/>
  <c r="E34" i="9"/>
  <c r="E31" i="9"/>
  <c r="E33" i="9"/>
  <c r="E32" i="9"/>
  <c r="E21" i="9"/>
  <c r="E35" i="9"/>
  <c r="E28" i="9"/>
  <c r="E30" i="9"/>
  <c r="L10" i="8"/>
  <c r="H47" i="8"/>
  <c r="L19" i="8"/>
  <c r="L23" i="8"/>
  <c r="L27" i="8"/>
  <c r="L31" i="8"/>
  <c r="L12" i="8"/>
  <c r="K47" i="8"/>
  <c r="L39" i="8"/>
  <c r="L42" i="8"/>
  <c r="L45" i="8"/>
  <c r="L36" i="8"/>
  <c r="L38" i="8"/>
  <c r="L41" i="8"/>
  <c r="L44" i="8"/>
  <c r="F47" i="8"/>
  <c r="G47" i="8" s="1"/>
  <c r="G14" i="2"/>
  <c r="G16" i="2"/>
  <c r="G30" i="2"/>
  <c r="G32" i="2"/>
  <c r="G18" i="2"/>
  <c r="G20" i="2"/>
  <c r="G34" i="2"/>
  <c r="G36" i="2"/>
  <c r="G8" i="2"/>
  <c r="G24" i="2"/>
  <c r="G40" i="2"/>
  <c r="G11" i="2"/>
  <c r="G15" i="2"/>
  <c r="G19" i="2"/>
  <c r="G23" i="2"/>
  <c r="G27" i="2"/>
  <c r="G31" i="2"/>
  <c r="G35" i="2"/>
  <c r="G39" i="2"/>
  <c r="E27" i="10" l="1"/>
  <c r="E16" i="10"/>
  <c r="E41" i="12"/>
  <c r="F29" i="12" s="1"/>
  <c r="G29" i="12" s="1"/>
  <c r="H29" i="12" s="1"/>
  <c r="E11" i="9"/>
  <c r="S22" i="1"/>
  <c r="S33" i="1"/>
  <c r="S15" i="1"/>
  <c r="S14" i="1"/>
  <c r="S38" i="1"/>
  <c r="S6" i="1"/>
  <c r="S35" i="1"/>
  <c r="S30" i="1"/>
  <c r="S21" i="1"/>
  <c r="S27" i="1"/>
  <c r="S13" i="1"/>
  <c r="S36" i="1"/>
  <c r="S28" i="1"/>
  <c r="S20" i="1"/>
  <c r="S12" i="1"/>
  <c r="S31" i="1"/>
  <c r="S17" i="1"/>
  <c r="Q39" i="1"/>
  <c r="T5" i="1"/>
  <c r="S23" i="1"/>
  <c r="S7" i="1"/>
  <c r="S34" i="1"/>
  <c r="S26" i="1"/>
  <c r="S18" i="1"/>
  <c r="S10" i="1"/>
  <c r="S29" i="1"/>
  <c r="S11" i="1"/>
  <c r="S19" i="1"/>
  <c r="S5" i="1"/>
  <c r="S32" i="1"/>
  <c r="S24" i="1"/>
  <c r="S16" i="1"/>
  <c r="S8" i="1"/>
  <c r="S37" i="1"/>
  <c r="S25" i="1"/>
  <c r="F40" i="12"/>
  <c r="G40" i="12" s="1"/>
  <c r="H40" i="12" s="1"/>
  <c r="F27" i="12"/>
  <c r="G27" i="12" s="1"/>
  <c r="H27" i="12" s="1"/>
  <c r="F37" i="12"/>
  <c r="G37" i="12" s="1"/>
  <c r="H37" i="12" s="1"/>
  <c r="F31" i="12"/>
  <c r="G31" i="12" s="1"/>
  <c r="H31" i="12" s="1"/>
  <c r="F35" i="12"/>
  <c r="G35" i="12" s="1"/>
  <c r="H35" i="12" s="1"/>
  <c r="F25" i="12"/>
  <c r="G25" i="12" s="1"/>
  <c r="H25" i="12" s="1"/>
  <c r="F11" i="12"/>
  <c r="G11" i="12" s="1"/>
  <c r="H11" i="12" s="1"/>
  <c r="F19" i="12"/>
  <c r="G19" i="12" s="1"/>
  <c r="H19" i="12" s="1"/>
  <c r="F9" i="12"/>
  <c r="G9" i="12" s="1"/>
  <c r="H9" i="12" s="1"/>
  <c r="F30" i="12"/>
  <c r="G30" i="12" s="1"/>
  <c r="H30" i="12" s="1"/>
  <c r="F36" i="12"/>
  <c r="G36" i="12" s="1"/>
  <c r="H36" i="12" s="1"/>
  <c r="F12" i="12"/>
  <c r="G12" i="12" s="1"/>
  <c r="H12" i="12" s="1"/>
  <c r="F14" i="12"/>
  <c r="G14" i="12" s="1"/>
  <c r="H14" i="12" s="1"/>
  <c r="F23" i="12"/>
  <c r="G23" i="12" s="1"/>
  <c r="H23" i="12" s="1"/>
  <c r="F38" i="12"/>
  <c r="G38" i="12" s="1"/>
  <c r="H38" i="12" s="1"/>
  <c r="F18" i="12"/>
  <c r="G18" i="12" s="1"/>
  <c r="H18" i="12" s="1"/>
  <c r="F26" i="12"/>
  <c r="G26" i="12" s="1"/>
  <c r="H26" i="12" s="1"/>
  <c r="E17" i="9"/>
  <c r="E26" i="10"/>
  <c r="C41" i="10"/>
  <c r="E37" i="10"/>
  <c r="E18" i="10"/>
  <c r="E12" i="10"/>
  <c r="E24" i="9"/>
  <c r="C41" i="9"/>
  <c r="E37" i="9"/>
  <c r="E14" i="9"/>
  <c r="L47" i="8"/>
  <c r="G7" i="2"/>
  <c r="C41" i="2"/>
  <c r="G41" i="2" s="1"/>
  <c r="F22" i="12" l="1"/>
  <c r="G22" i="12" s="1"/>
  <c r="H22" i="12" s="1"/>
  <c r="F20" i="12"/>
  <c r="G20" i="12" s="1"/>
  <c r="H20" i="12" s="1"/>
  <c r="F39" i="12"/>
  <c r="G39" i="12" s="1"/>
  <c r="H39" i="12" s="1"/>
  <c r="F16" i="12"/>
  <c r="G16" i="12" s="1"/>
  <c r="H16" i="12" s="1"/>
  <c r="F8" i="12"/>
  <c r="G8" i="12" s="1"/>
  <c r="H8" i="12" s="1"/>
  <c r="F13" i="12"/>
  <c r="G13" i="12" s="1"/>
  <c r="H13" i="12" s="1"/>
  <c r="F17" i="12"/>
  <c r="G17" i="12" s="1"/>
  <c r="H17" i="12" s="1"/>
  <c r="F15" i="12"/>
  <c r="G15" i="12" s="1"/>
  <c r="H15" i="12" s="1"/>
  <c r="F10" i="12"/>
  <c r="G10" i="12" s="1"/>
  <c r="H10" i="12" s="1"/>
  <c r="F34" i="12"/>
  <c r="G34" i="12" s="1"/>
  <c r="H34" i="12" s="1"/>
  <c r="F7" i="12"/>
  <c r="F41" i="12" s="1"/>
  <c r="F28" i="12"/>
  <c r="G28" i="12" s="1"/>
  <c r="H28" i="12" s="1"/>
  <c r="F32" i="12"/>
  <c r="G32" i="12" s="1"/>
  <c r="H32" i="12" s="1"/>
  <c r="F21" i="12"/>
  <c r="G21" i="12" s="1"/>
  <c r="H21" i="12" s="1"/>
  <c r="F24" i="12"/>
  <c r="G24" i="12" s="1"/>
  <c r="H24" i="12" s="1"/>
  <c r="F33" i="12"/>
  <c r="G33" i="12" s="1"/>
  <c r="H33" i="12" s="1"/>
  <c r="R5" i="1"/>
  <c r="U39" i="1"/>
  <c r="R13" i="1"/>
  <c r="R27" i="1"/>
  <c r="R31" i="1"/>
  <c r="R9" i="1"/>
  <c r="R25" i="1"/>
  <c r="R8" i="1"/>
  <c r="R12" i="1"/>
  <c r="R24" i="1"/>
  <c r="R28" i="1"/>
  <c r="R36" i="1"/>
  <c r="R17" i="1"/>
  <c r="R15" i="1"/>
  <c r="R16" i="1"/>
  <c r="R20" i="1"/>
  <c r="R32" i="1"/>
  <c r="R7" i="1"/>
  <c r="R23" i="1"/>
  <c r="R29" i="1"/>
  <c r="R33" i="1"/>
  <c r="R37" i="1"/>
  <c r="R19" i="1"/>
  <c r="R6" i="1"/>
  <c r="R10" i="1"/>
  <c r="R18" i="1"/>
  <c r="R22" i="1"/>
  <c r="R26" i="1"/>
  <c r="R38" i="1"/>
  <c r="R21" i="1"/>
  <c r="R35" i="1"/>
  <c r="R11" i="1"/>
  <c r="R14" i="1"/>
  <c r="R30" i="1"/>
  <c r="R34" i="1"/>
  <c r="G7" i="12"/>
  <c r="E41" i="10"/>
  <c r="F37" i="10" s="1"/>
  <c r="E41" i="9"/>
  <c r="F37" i="9" s="1"/>
  <c r="F14" i="9" l="1"/>
  <c r="G14" i="9" s="1"/>
  <c r="H14" i="9" s="1"/>
  <c r="H7" i="12"/>
  <c r="G41" i="12"/>
  <c r="H41" i="12" s="1"/>
  <c r="F14" i="10"/>
  <c r="G14" i="10" s="1"/>
  <c r="H14" i="10" s="1"/>
  <c r="F9" i="10"/>
  <c r="G9" i="10" s="1"/>
  <c r="H9" i="10" s="1"/>
  <c r="F17" i="10"/>
  <c r="G17" i="10" s="1"/>
  <c r="H17" i="10" s="1"/>
  <c r="F8" i="10"/>
  <c r="G8" i="10" s="1"/>
  <c r="H8" i="10" s="1"/>
  <c r="F28" i="10"/>
  <c r="G28" i="10" s="1"/>
  <c r="H28" i="10" s="1"/>
  <c r="F35" i="10"/>
  <c r="G35" i="10" s="1"/>
  <c r="H35" i="10" s="1"/>
  <c r="F34" i="10"/>
  <c r="G34" i="10" s="1"/>
  <c r="H34" i="10" s="1"/>
  <c r="F13" i="10"/>
  <c r="G13" i="10" s="1"/>
  <c r="H13" i="10" s="1"/>
  <c r="F29" i="10"/>
  <c r="G29" i="10" s="1"/>
  <c r="H29" i="10" s="1"/>
  <c r="F33" i="10"/>
  <c r="G33" i="10" s="1"/>
  <c r="H33" i="10" s="1"/>
  <c r="F10" i="10"/>
  <c r="G10" i="10" s="1"/>
  <c r="H10" i="10" s="1"/>
  <c r="F39" i="10"/>
  <c r="G39" i="10" s="1"/>
  <c r="H39" i="10" s="1"/>
  <c r="F15" i="10"/>
  <c r="G15" i="10" s="1"/>
  <c r="H15" i="10" s="1"/>
  <c r="F32" i="10"/>
  <c r="G32" i="10" s="1"/>
  <c r="H32" i="10" s="1"/>
  <c r="F20" i="10"/>
  <c r="G20" i="10" s="1"/>
  <c r="H20" i="10" s="1"/>
  <c r="F31" i="10"/>
  <c r="G31" i="10" s="1"/>
  <c r="H31" i="10" s="1"/>
  <c r="F16" i="10"/>
  <c r="G16" i="10" s="1"/>
  <c r="H16" i="10" s="1"/>
  <c r="F22" i="10"/>
  <c r="G22" i="10" s="1"/>
  <c r="H22" i="10" s="1"/>
  <c r="F11" i="10"/>
  <c r="G11" i="10" s="1"/>
  <c r="H11" i="10" s="1"/>
  <c r="F7" i="10"/>
  <c r="G7" i="10" s="1"/>
  <c r="H7" i="10" s="1"/>
  <c r="F24" i="10"/>
  <c r="G24" i="10" s="1"/>
  <c r="H24" i="10" s="1"/>
  <c r="F21" i="10"/>
  <c r="G21" i="10" s="1"/>
  <c r="H21" i="10" s="1"/>
  <c r="F23" i="10"/>
  <c r="G23" i="10" s="1"/>
  <c r="H23" i="10" s="1"/>
  <c r="F40" i="10"/>
  <c r="G40" i="10" s="1"/>
  <c r="H40" i="10" s="1"/>
  <c r="F26" i="10"/>
  <c r="G26" i="10" s="1"/>
  <c r="H26" i="10" s="1"/>
  <c r="F19" i="10"/>
  <c r="G19" i="10" s="1"/>
  <c r="H19" i="10" s="1"/>
  <c r="F27" i="10"/>
  <c r="G27" i="10" s="1"/>
  <c r="H27" i="10" s="1"/>
  <c r="F25" i="10"/>
  <c r="G25" i="10" s="1"/>
  <c r="H25" i="10" s="1"/>
  <c r="F38" i="10"/>
  <c r="G38" i="10" s="1"/>
  <c r="H38" i="10" s="1"/>
  <c r="F30" i="10"/>
  <c r="G30" i="10" s="1"/>
  <c r="H30" i="10" s="1"/>
  <c r="F36" i="10"/>
  <c r="G36" i="10" s="1"/>
  <c r="H36" i="10" s="1"/>
  <c r="G37" i="10"/>
  <c r="F18" i="10"/>
  <c r="G18" i="10" s="1"/>
  <c r="H18" i="10" s="1"/>
  <c r="F12" i="10"/>
  <c r="G12" i="10" s="1"/>
  <c r="H12" i="10" s="1"/>
  <c r="F15" i="9"/>
  <c r="G15" i="9" s="1"/>
  <c r="H15" i="9" s="1"/>
  <c r="F16" i="9"/>
  <c r="G16" i="9" s="1"/>
  <c r="H16" i="9" s="1"/>
  <c r="F38" i="9"/>
  <c r="G38" i="9" s="1"/>
  <c r="H38" i="9" s="1"/>
  <c r="F40" i="9"/>
  <c r="G40" i="9" s="1"/>
  <c r="H40" i="9" s="1"/>
  <c r="F39" i="9"/>
  <c r="G39" i="9" s="1"/>
  <c r="H39" i="9" s="1"/>
  <c r="F29" i="9"/>
  <c r="G29" i="9" s="1"/>
  <c r="H29" i="9" s="1"/>
  <c r="F19" i="9"/>
  <c r="G19" i="9" s="1"/>
  <c r="H19" i="9" s="1"/>
  <c r="F27" i="9"/>
  <c r="G27" i="9" s="1"/>
  <c r="H27" i="9" s="1"/>
  <c r="F26" i="9"/>
  <c r="G26" i="9" s="1"/>
  <c r="H26" i="9" s="1"/>
  <c r="F7" i="9"/>
  <c r="G7" i="9" s="1"/>
  <c r="H7" i="9" s="1"/>
  <c r="F23" i="9"/>
  <c r="G23" i="9" s="1"/>
  <c r="H23" i="9" s="1"/>
  <c r="F18" i="9"/>
  <c r="G18" i="9" s="1"/>
  <c r="H18" i="9" s="1"/>
  <c r="F20" i="9"/>
  <c r="G20" i="9" s="1"/>
  <c r="H20" i="9" s="1"/>
  <c r="F22" i="9"/>
  <c r="G22" i="9" s="1"/>
  <c r="H22" i="9" s="1"/>
  <c r="F31" i="9"/>
  <c r="G31" i="9" s="1"/>
  <c r="H31" i="9" s="1"/>
  <c r="F8" i="9"/>
  <c r="G8" i="9" s="1"/>
  <c r="H8" i="9" s="1"/>
  <c r="F33" i="9"/>
  <c r="G33" i="9" s="1"/>
  <c r="H33" i="9" s="1"/>
  <c r="F36" i="9"/>
  <c r="G36" i="9" s="1"/>
  <c r="H36" i="9" s="1"/>
  <c r="F30" i="9"/>
  <c r="G30" i="9" s="1"/>
  <c r="H30" i="9" s="1"/>
  <c r="F12" i="9"/>
  <c r="G12" i="9" s="1"/>
  <c r="H12" i="9" s="1"/>
  <c r="F13" i="9"/>
  <c r="G13" i="9" s="1"/>
  <c r="H13" i="9" s="1"/>
  <c r="F35" i="9"/>
  <c r="G35" i="9" s="1"/>
  <c r="H35" i="9" s="1"/>
  <c r="F32" i="9"/>
  <c r="G32" i="9" s="1"/>
  <c r="H32" i="9" s="1"/>
  <c r="F11" i="9"/>
  <c r="G11" i="9" s="1"/>
  <c r="H11" i="9" s="1"/>
  <c r="F9" i="9"/>
  <c r="G9" i="9" s="1"/>
  <c r="H9" i="9" s="1"/>
  <c r="F21" i="9"/>
  <c r="G21" i="9" s="1"/>
  <c r="H21" i="9" s="1"/>
  <c r="F10" i="9"/>
  <c r="G10" i="9" s="1"/>
  <c r="H10" i="9" s="1"/>
  <c r="F17" i="9"/>
  <c r="G17" i="9" s="1"/>
  <c r="H17" i="9" s="1"/>
  <c r="F28" i="9"/>
  <c r="G28" i="9" s="1"/>
  <c r="H28" i="9" s="1"/>
  <c r="F25" i="9"/>
  <c r="G25" i="9" s="1"/>
  <c r="H25" i="9" s="1"/>
  <c r="F34" i="9"/>
  <c r="G34" i="9" s="1"/>
  <c r="H34" i="9" s="1"/>
  <c r="G37" i="9"/>
  <c r="F24" i="9"/>
  <c r="G24" i="9" s="1"/>
  <c r="H24" i="9" s="1"/>
  <c r="F41" i="10" l="1"/>
  <c r="H37" i="10"/>
  <c r="G41" i="10"/>
  <c r="H41" i="10" s="1"/>
  <c r="F41" i="9"/>
  <c r="H37" i="9"/>
  <c r="G41" i="9"/>
  <c r="H41" i="9" s="1"/>
</calcChain>
</file>

<file path=xl/comments1.xml><?xml version="1.0" encoding="utf-8"?>
<comments xmlns="http://schemas.openxmlformats.org/spreadsheetml/2006/main">
  <authors>
    <author>Curtis Christopher J</author>
  </authors>
  <commentList>
    <comment ref="E6" authorId="0" shapeId="0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2.xml><?xml version="1.0" encoding="utf-8"?>
<comments xmlns="http://schemas.openxmlformats.org/spreadsheetml/2006/main">
  <authors>
    <author>Curtis Christopher J</author>
  </authors>
  <commentList>
    <comment ref="E6" authorId="0" shapeId="0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3.xml><?xml version="1.0" encoding="utf-8"?>
<comments xmlns="http://schemas.openxmlformats.org/spreadsheetml/2006/main">
  <authors>
    <author>Curtis Christopher J</author>
  </authors>
  <commentList>
    <comment ref="E6" authorId="0" shapeId="0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sharedStrings.xml><?xml version="1.0" encoding="utf-8"?>
<sst xmlns="http://schemas.openxmlformats.org/spreadsheetml/2006/main" count="461" uniqueCount="163">
  <si>
    <t>County Group</t>
  </si>
  <si>
    <t>Floor</t>
  </si>
  <si>
    <t>Wheeler</t>
  </si>
  <si>
    <t>Wallowa</t>
  </si>
  <si>
    <t>Harney</t>
  </si>
  <si>
    <t>Grant</t>
  </si>
  <si>
    <t>Lake</t>
  </si>
  <si>
    <t>Morrow</t>
  </si>
  <si>
    <t>Baker</t>
  </si>
  <si>
    <t>Crook</t>
  </si>
  <si>
    <t>Jefferson</t>
  </si>
  <si>
    <t>Curry</t>
  </si>
  <si>
    <t>Hood River</t>
  </si>
  <si>
    <t>Tillamook</t>
  </si>
  <si>
    <t>Union</t>
  </si>
  <si>
    <t>North Central</t>
  </si>
  <si>
    <t>Malheur</t>
  </si>
  <si>
    <t>Clatsop</t>
  </si>
  <si>
    <t>Lincoln</t>
  </si>
  <si>
    <t>Columbia</t>
  </si>
  <si>
    <t>Coos</t>
  </si>
  <si>
    <t>Klamath</t>
  </si>
  <si>
    <t>Polk</t>
  </si>
  <si>
    <t>Umatilla</t>
  </si>
  <si>
    <t>Josephine</t>
  </si>
  <si>
    <t>Benton</t>
  </si>
  <si>
    <t>Yamhill</t>
  </si>
  <si>
    <t>Douglas</t>
  </si>
  <si>
    <t>Linn</t>
  </si>
  <si>
    <t>Deschutes</t>
  </si>
  <si>
    <t>Jackson</t>
  </si>
  <si>
    <t>Marion</t>
  </si>
  <si>
    <t>Lane</t>
  </si>
  <si>
    <t>Clackamas</t>
  </si>
  <si>
    <t>Washington</t>
  </si>
  <si>
    <t>Multnomah</t>
  </si>
  <si>
    <t>Total</t>
  </si>
  <si>
    <r>
      <t xml:space="preserve">1 </t>
    </r>
    <r>
      <rPr>
        <sz val="11"/>
        <color theme="1"/>
        <rFont val="Calibri"/>
        <family val="2"/>
        <scheme val="minor"/>
      </rPr>
      <t>Source: American Community Survey population 5-year estimate, 2009-2014.</t>
    </r>
  </si>
  <si>
    <r>
      <t xml:space="preserve">2 </t>
    </r>
    <r>
      <rPr>
        <sz val="11"/>
        <color theme="1"/>
        <rFont val="Calibri"/>
        <family val="2"/>
        <scheme val="minor"/>
      </rPr>
      <t>Source: County Health Rankings, Health Factors/Health Behaviors, 2016.</t>
    </r>
  </si>
  <si>
    <r>
      <t xml:space="preserve">3 </t>
    </r>
    <r>
      <rPr>
        <sz val="11"/>
        <color theme="1"/>
        <rFont val="Calibri"/>
        <family val="2"/>
        <scheme val="minor"/>
      </rPr>
      <t>Source: County Health Rankings, Health Outcomes, Overall, 2016.</t>
    </r>
  </si>
  <si>
    <r>
      <t>4</t>
    </r>
    <r>
      <rPr>
        <sz val="11"/>
        <color theme="1"/>
        <rFont val="Calibri"/>
        <family val="2"/>
      </rPr>
      <t xml:space="preserve"> Source: American Community Survey population 5-year estimate, 2012</t>
    </r>
  </si>
  <si>
    <t>Total Pool</t>
  </si>
  <si>
    <t>Indicator Pool</t>
  </si>
  <si>
    <t>Calculated WIN 2016</t>
  </si>
  <si>
    <t>"Weighted Average"</t>
  </si>
  <si>
    <t>County Population</t>
  </si>
  <si>
    <t>Rank</t>
  </si>
  <si>
    <t>Under 20</t>
  </si>
  <si>
    <t>20-44 under 250%</t>
  </si>
  <si>
    <t>% of population that is WIN</t>
  </si>
  <si>
    <t>% of total WIN in each county</t>
  </si>
  <si>
    <t>URBAN/RURAL FACTOR</t>
  </si>
  <si>
    <t>Maternal and Child Health County Fund Formula - FY 2003</t>
  </si>
  <si>
    <t>OLD</t>
  </si>
  <si>
    <t xml:space="preserve"> </t>
  </si>
  <si>
    <t>NEW</t>
  </si>
  <si>
    <t>July 1, 1998</t>
  </si>
  <si>
    <t>July 1, 2000</t>
  </si>
  <si>
    <t>FY 2003</t>
  </si>
  <si>
    <t>PERCENT</t>
  </si>
  <si>
    <t>POINTS</t>
  </si>
  <si>
    <t>SQUARE</t>
  </si>
  <si>
    <t>POP.</t>
  </si>
  <si>
    <t>Revision</t>
  </si>
  <si>
    <t xml:space="preserve">Population </t>
  </si>
  <si>
    <t>POP &lt;2500</t>
  </si>
  <si>
    <t>OF POP.</t>
  </si>
  <si>
    <t>POP &lt;2500*</t>
  </si>
  <si>
    <t>FOR</t>
  </si>
  <si>
    <t>MILES</t>
  </si>
  <si>
    <t>DENSITY</t>
  </si>
  <si>
    <t>TOTAL POINTS</t>
  </si>
  <si>
    <t>Estimates</t>
  </si>
  <si>
    <t>&lt;2500</t>
  </si>
  <si>
    <t>&gt;50%</t>
  </si>
  <si>
    <t>(1992 PSU)</t>
  </si>
  <si>
    <t>&lt;100</t>
  </si>
  <si>
    <t>(URBAN/RURAL FACTOR)</t>
  </si>
  <si>
    <t>BAKER</t>
  </si>
  <si>
    <t>BENTON</t>
  </si>
  <si>
    <t>CLACKAMAS</t>
  </si>
  <si>
    <t>CLATSOP</t>
  </si>
  <si>
    <t>COLUMBIA</t>
  </si>
  <si>
    <t>COOS</t>
  </si>
  <si>
    <t>CROOK</t>
  </si>
  <si>
    <t>CURRY</t>
  </si>
  <si>
    <t>DESCHUTES</t>
  </si>
  <si>
    <t>DOUGLAS</t>
  </si>
  <si>
    <t>GILLIAM</t>
  </si>
  <si>
    <t>GRANT</t>
  </si>
  <si>
    <t>HARNEY</t>
  </si>
  <si>
    <t>HOOD RIVER</t>
  </si>
  <si>
    <t>JACKSON</t>
  </si>
  <si>
    <t>JEFFERSON</t>
  </si>
  <si>
    <t>JOSEPHINE</t>
  </si>
  <si>
    <t>KLAMATH</t>
  </si>
  <si>
    <t>LAKE</t>
  </si>
  <si>
    <t>LANE</t>
  </si>
  <si>
    <t>LINCOLN</t>
  </si>
  <si>
    <t>LINN</t>
  </si>
  <si>
    <t>MALHEUR</t>
  </si>
  <si>
    <t>MARION</t>
  </si>
  <si>
    <t>MORROW</t>
  </si>
  <si>
    <t>MULTNOMAH</t>
  </si>
  <si>
    <t>POLK</t>
  </si>
  <si>
    <t>SHERMAN</t>
  </si>
  <si>
    <t>TILLAMOOK</t>
  </si>
  <si>
    <t>UMATILLA</t>
  </si>
  <si>
    <t>UNION</t>
  </si>
  <si>
    <t>WALLOWA</t>
  </si>
  <si>
    <t>WASCO</t>
  </si>
  <si>
    <t>WASHINGTON</t>
  </si>
  <si>
    <t>WHEELER</t>
  </si>
  <si>
    <t>YAMHILL</t>
  </si>
  <si>
    <t>STATE</t>
  </si>
  <si>
    <t>Urban/Rural</t>
  </si>
  <si>
    <t>Weight</t>
  </si>
  <si>
    <t>Weighted Average</t>
  </si>
  <si>
    <t>Weighted Payout</t>
  </si>
  <si>
    <t>Weighted Per Capita</t>
  </si>
  <si>
    <t>(% non-white)</t>
  </si>
  <si>
    <t>(# non-white)</t>
  </si>
  <si>
    <t>(% of total non-white)</t>
  </si>
  <si>
    <r>
      <t>Limited English Proficiency</t>
    </r>
    <r>
      <rPr>
        <vertAlign val="superscript"/>
        <sz val="11"/>
        <color theme="1"/>
        <rFont val="Calibri"/>
        <family val="2"/>
        <scheme val="minor"/>
      </rPr>
      <t>4</t>
    </r>
  </si>
  <si>
    <r>
      <t>Nonwhite population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</si>
  <si>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 xml:space="preserve"> Source: Portland State University Certified Population estimate July 1, 2015</t>
    </r>
  </si>
  <si>
    <r>
      <t>Population</t>
    </r>
    <r>
      <rPr>
        <vertAlign val="superscript"/>
        <sz val="11"/>
        <color theme="1"/>
        <rFont val="Calibri"/>
        <family val="2"/>
        <scheme val="minor"/>
      </rPr>
      <t>5</t>
    </r>
  </si>
  <si>
    <r>
      <t>CT rates</t>
    </r>
    <r>
      <rPr>
        <vertAlign val="superscript"/>
        <sz val="11"/>
        <color theme="1"/>
        <rFont val="Calibri"/>
        <family val="2"/>
        <scheme val="minor"/>
      </rPr>
      <t>6</t>
    </r>
  </si>
  <si>
    <r>
      <t>Women In Need</t>
    </r>
    <r>
      <rPr>
        <vertAlign val="superscript"/>
        <sz val="11"/>
        <color theme="1"/>
        <rFont val="Calibri"/>
        <family val="2"/>
        <scheme val="minor"/>
      </rPr>
      <t>7</t>
    </r>
  </si>
  <si>
    <r>
      <rPr>
        <vertAlign val="superscript"/>
        <sz val="11"/>
        <color theme="1"/>
        <rFont val="Calibri"/>
        <family val="2"/>
        <scheme val="minor"/>
      </rPr>
      <t xml:space="preserve">7 </t>
    </r>
    <r>
      <rPr>
        <sz val="11"/>
        <color theme="1"/>
        <rFont val="Calibri"/>
        <family val="2"/>
        <scheme val="minor"/>
      </rPr>
      <t>Source: Guttmacher Institute figures updated per PSU Certified Population Estimates</t>
    </r>
  </si>
  <si>
    <t>% LEP</t>
  </si>
  <si>
    <t># LEP</t>
  </si>
  <si>
    <t>% of total LEP</t>
  </si>
  <si>
    <t>County</t>
  </si>
  <si>
    <t>2014 Chlamydia Cases</t>
  </si>
  <si>
    <t>2015 Chlamydia Cases</t>
  </si>
  <si>
    <t>2016 Chlamydia Cases</t>
  </si>
  <si>
    <t>Average Rate 2014-2016</t>
  </si>
  <si>
    <t>Total cases 2014-16</t>
  </si>
  <si>
    <t>% of total cases</t>
  </si>
  <si>
    <t>Factor: Average Rate</t>
  </si>
  <si>
    <t>% of Average Rate Points</t>
  </si>
  <si>
    <t>/ 100,000 people</t>
  </si>
  <si>
    <t>Total award for CT</t>
  </si>
  <si>
    <t>TOTAL</t>
  </si>
  <si>
    <t>North Central population</t>
  </si>
  <si>
    <t>CT - total cases 2014-16</t>
  </si>
  <si>
    <t>TOTAL AWARD</t>
  </si>
  <si>
    <t>Award Percentage</t>
  </si>
  <si>
    <t>% of Total Population</t>
  </si>
  <si>
    <t>Award Per Capita</t>
  </si>
  <si>
    <t>Avg Award Per Capita</t>
  </si>
  <si>
    <r>
      <t>Urban/Rural</t>
    </r>
    <r>
      <rPr>
        <vertAlign val="superscript"/>
        <sz val="11"/>
        <color theme="1"/>
        <rFont val="Calibri"/>
        <family val="2"/>
        <scheme val="minor"/>
      </rPr>
      <t>8</t>
    </r>
  </si>
  <si>
    <r>
      <rPr>
        <vertAlign val="super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Source: MCH program</t>
    </r>
  </si>
  <si>
    <t>Total Award</t>
  </si>
  <si>
    <t>New award minus old award</t>
  </si>
  <si>
    <t>Average Annual Cases 2014-2016</t>
  </si>
  <si>
    <r>
      <t>Women In Need</t>
    </r>
    <r>
      <rPr>
        <b/>
        <vertAlign val="superscript"/>
        <sz val="11"/>
        <color theme="1"/>
        <rFont val="Calibri"/>
        <family val="2"/>
        <scheme val="minor"/>
      </rPr>
      <t>7</t>
    </r>
  </si>
  <si>
    <r>
      <t>Nonwhite population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</si>
  <si>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Limited English Proficiency</t>
    </r>
    <r>
      <rPr>
        <b/>
        <vertAlign val="superscript"/>
        <sz val="11"/>
        <color theme="1"/>
        <rFont val="Calibri"/>
        <family val="2"/>
        <scheme val="minor"/>
      </rPr>
      <t>4</t>
    </r>
  </si>
  <si>
    <r>
      <t>CT rates</t>
    </r>
    <r>
      <rPr>
        <b/>
        <vertAlign val="superscript"/>
        <sz val="11"/>
        <color theme="1"/>
        <rFont val="Calibri"/>
        <family val="2"/>
        <scheme val="minor"/>
      </rPr>
      <t>6</t>
    </r>
  </si>
  <si>
    <t>CT - 2014-16 rate (points)</t>
  </si>
  <si>
    <r>
      <t xml:space="preserve">6 </t>
    </r>
    <r>
      <rPr>
        <sz val="11"/>
        <color theme="1"/>
        <rFont val="Calibri"/>
        <family val="2"/>
        <scheme val="minor"/>
      </rPr>
      <t>Source: Oregon STD Program, data received Nov 2017. CT Rate is per 100,000 population.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</si>
</sst>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0.0_)"/>
    <numFmt numFmtId="168" formatCode="0.0"/>
    <numFmt numFmtId="169" formatCode="0_)"/>
    <numFmt numFmtId="170" formatCode="_(&quot;$&quot;* #,##0.0_);_(&quot;$&quot;* \(#,##0.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i/>
      <sz val="12"/>
      <name val="Arial"/>
      <family val="2"/>
    </font>
    <font>
      <i/>
      <sz val="12"/>
      <color indexed="8"/>
      <name val="Arial"/>
      <family val="2"/>
    </font>
    <font>
      <b/>
      <i/>
      <sz val="12"/>
      <name val="Arial"/>
      <family val="2"/>
    </font>
    <font>
      <sz val="9"/>
      <color indexed="81"/>
      <name val="Tahoma"/>
      <family val="2"/>
    </font>
    <font>
      <sz val="12"/>
      <color rgb="FFFFFFFF"/>
      <name val="Calibri"/>
      <family val="2"/>
    </font>
    <font>
      <sz val="12"/>
      <color theme="1"/>
      <name val="Calibri"/>
      <family val="2"/>
    </font>
    <font>
      <b/>
      <vertAlign val="superscript"/>
      <sz val="11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1A7CC"/>
        <bgColor indexed="64"/>
      </patternFill>
    </fill>
    <fill>
      <patternFill patternType="solid">
        <fgColor rgb="FFF1DBF7"/>
        <bgColor indexed="64"/>
      </patternFill>
    </fill>
    <fill>
      <patternFill patternType="solid">
        <fgColor rgb="FFD4C4E2"/>
        <bgColor indexed="64"/>
      </patternFill>
    </fill>
    <fill>
      <patternFill patternType="solid">
        <fgColor rgb="FFD7F6FD"/>
        <bgColor indexed="64"/>
      </patternFill>
    </fill>
    <fill>
      <patternFill patternType="solid">
        <fgColor rgb="FFA3CBDF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A5A5A5"/>
      </left>
      <right/>
      <top style="medium">
        <color rgb="FFA5A5A5"/>
      </top>
      <bottom/>
      <diagonal/>
    </border>
    <border>
      <left/>
      <right/>
      <top style="medium">
        <color rgb="FFA5A5A5"/>
      </top>
      <bottom/>
      <diagonal/>
    </border>
    <border>
      <left/>
      <right style="medium">
        <color rgb="FFA5A5A5"/>
      </right>
      <top style="medium">
        <color rgb="FFA5A5A5"/>
      </top>
      <bottom/>
      <diagonal/>
    </border>
    <border>
      <left style="medium">
        <color rgb="FFA5A5A5"/>
      </left>
      <right/>
      <top/>
      <bottom/>
      <diagonal/>
    </border>
    <border>
      <left style="medium">
        <color rgb="FFA5A5A5"/>
      </left>
      <right/>
      <top/>
      <bottom style="medium">
        <color rgb="FFA5A5A5"/>
      </bottom>
      <diagonal/>
    </border>
    <border>
      <left/>
      <right/>
      <top/>
      <bottom style="medium">
        <color rgb="FFA5A5A5"/>
      </bottom>
      <diagonal/>
    </border>
    <border>
      <left/>
      <right style="medium">
        <color rgb="FFA5A5A5"/>
      </right>
      <top/>
      <bottom style="medium">
        <color rgb="FFA5A5A5"/>
      </bottom>
      <diagonal/>
    </border>
    <border>
      <left style="medium">
        <color rgb="FFC9C9C9"/>
      </left>
      <right style="medium">
        <color rgb="FFC9C9C9"/>
      </right>
      <top/>
      <bottom style="medium">
        <color rgb="FFC9C9C9"/>
      </bottom>
      <diagonal/>
    </border>
    <border>
      <left/>
      <right style="medium">
        <color rgb="FFC9C9C9"/>
      </right>
      <top/>
      <bottom style="medium">
        <color rgb="FFC9C9C9"/>
      </bottom>
      <diagonal/>
    </border>
    <border>
      <left style="medium">
        <color rgb="FFC9C9C9"/>
      </left>
      <right style="medium">
        <color rgb="FFC9C9C9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236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3" borderId="0" xfId="0" applyFill="1" applyAlignment="1"/>
    <xf numFmtId="0" fontId="0" fillId="4" borderId="0" xfId="0" applyFill="1" applyAlignment="1"/>
    <xf numFmtId="0" fontId="0" fillId="5" borderId="0" xfId="0" applyFill="1" applyAlignment="1"/>
    <xf numFmtId="0" fontId="0" fillId="6" borderId="0" xfId="0" applyFill="1" applyAlignment="1"/>
    <xf numFmtId="0" fontId="0" fillId="7" borderId="0" xfId="0" applyFill="1" applyAlignment="1"/>
    <xf numFmtId="0" fontId="2" fillId="2" borderId="0" xfId="0" applyFont="1" applyFill="1"/>
    <xf numFmtId="164" fontId="2" fillId="2" borderId="0" xfId="0" applyNumberFormat="1" applyFont="1" applyFill="1"/>
    <xf numFmtId="165" fontId="2" fillId="2" borderId="0" xfId="0" applyNumberFormat="1" applyFont="1" applyFill="1"/>
    <xf numFmtId="0" fontId="4" fillId="0" borderId="0" xfId="0" applyFont="1" applyAlignment="1">
      <alignment horizontal="left"/>
    </xf>
    <xf numFmtId="0" fontId="4" fillId="0" borderId="0" xfId="0" applyFont="1" applyAlignment="1"/>
    <xf numFmtId="6" fontId="0" fillId="8" borderId="0" xfId="0" applyNumberFormat="1" applyFill="1"/>
    <xf numFmtId="6" fontId="0" fillId="7" borderId="0" xfId="0" applyNumberFormat="1" applyFill="1"/>
    <xf numFmtId="6" fontId="0" fillId="0" borderId="0" xfId="0" applyNumberFormat="1" applyFill="1"/>
    <xf numFmtId="0" fontId="6" fillId="4" borderId="0" xfId="0" applyFont="1" applyFill="1" applyBorder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3" fontId="6" fillId="4" borderId="4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 wrapText="1"/>
    </xf>
    <xf numFmtId="3" fontId="6" fillId="4" borderId="6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164" fontId="0" fillId="0" borderId="0" xfId="1" applyNumberFormat="1" applyFont="1" applyFill="1"/>
    <xf numFmtId="166" fontId="0" fillId="0" borderId="0" xfId="3" applyNumberFormat="1" applyFont="1" applyFill="1"/>
    <xf numFmtId="1" fontId="1" fillId="0" borderId="7" xfId="3" applyNumberFormat="1" applyFont="1" applyFill="1" applyBorder="1" applyAlignment="1">
      <alignment horizontal="right"/>
    </xf>
    <xf numFmtId="1" fontId="1" fillId="0" borderId="8" xfId="3" applyNumberFormat="1" applyFont="1" applyFill="1" applyBorder="1" applyAlignment="1">
      <alignment horizontal="right"/>
    </xf>
    <xf numFmtId="1" fontId="1" fillId="0" borderId="9" xfId="3" applyNumberFormat="1" applyFont="1" applyFill="1" applyBorder="1" applyAlignment="1">
      <alignment horizontal="right"/>
    </xf>
    <xf numFmtId="166" fontId="1" fillId="0" borderId="0" xfId="3" applyNumberFormat="1" applyFont="1" applyFill="1" applyBorder="1" applyAlignment="1">
      <alignment horizontal="right"/>
    </xf>
    <xf numFmtId="10" fontId="1" fillId="0" borderId="0" xfId="3" applyNumberFormat="1" applyFont="1" applyFill="1" applyBorder="1" applyAlignment="1">
      <alignment horizontal="right"/>
    </xf>
    <xf numFmtId="1" fontId="1" fillId="0" borderId="10" xfId="3" applyNumberFormat="1" applyFont="1" applyFill="1" applyBorder="1" applyAlignment="1">
      <alignment horizontal="right"/>
    </xf>
    <xf numFmtId="1" fontId="1" fillId="0" borderId="0" xfId="3" applyNumberFormat="1" applyFont="1" applyFill="1" applyBorder="1" applyAlignment="1">
      <alignment horizontal="right"/>
    </xf>
    <xf numFmtId="1" fontId="1" fillId="0" borderId="11" xfId="3" applyNumberFormat="1" applyFont="1" applyFill="1" applyBorder="1" applyAlignment="1">
      <alignment horizontal="right"/>
    </xf>
    <xf numFmtId="1" fontId="7" fillId="0" borderId="10" xfId="0" applyNumberFormat="1" applyFont="1" applyBorder="1" applyAlignment="1">
      <alignment horizontal="right" vertical="center"/>
    </xf>
    <xf numFmtId="1" fontId="7" fillId="0" borderId="0" xfId="0" applyNumberFormat="1" applyFont="1" applyBorder="1" applyAlignment="1">
      <alignment horizontal="right" vertical="center"/>
    </xf>
    <xf numFmtId="1" fontId="7" fillId="0" borderId="11" xfId="0" applyNumberFormat="1" applyFont="1" applyBorder="1" applyAlignment="1">
      <alignment horizontal="right" vertical="center"/>
    </xf>
    <xf numFmtId="1" fontId="7" fillId="0" borderId="4" xfId="0" applyNumberFormat="1" applyFont="1" applyBorder="1" applyAlignment="1">
      <alignment horizontal="right" vertical="center"/>
    </xf>
    <xf numFmtId="1" fontId="7" fillId="0" borderId="5" xfId="0" applyNumberFormat="1" applyFont="1" applyBorder="1" applyAlignment="1">
      <alignment horizontal="right" vertical="center"/>
    </xf>
    <xf numFmtId="1" fontId="7" fillId="0" borderId="6" xfId="0" applyNumberFormat="1" applyFont="1" applyBorder="1" applyAlignment="1">
      <alignment horizontal="right"/>
    </xf>
    <xf numFmtId="164" fontId="2" fillId="2" borderId="0" xfId="1" applyNumberFormat="1" applyFont="1" applyFill="1"/>
    <xf numFmtId="1" fontId="8" fillId="0" borderId="7" xfId="0" applyNumberFormat="1" applyFont="1" applyBorder="1" applyAlignment="1">
      <alignment horizontal="right" vertical="center"/>
    </xf>
    <xf numFmtId="1" fontId="8" fillId="0" borderId="8" xfId="0" applyNumberFormat="1" applyFont="1" applyBorder="1" applyAlignment="1">
      <alignment horizontal="right" vertical="center"/>
    </xf>
    <xf numFmtId="1" fontId="8" fillId="0" borderId="9" xfId="0" applyNumberFormat="1" applyFont="1" applyBorder="1" applyAlignment="1">
      <alignment horizontal="right"/>
    </xf>
    <xf numFmtId="0" fontId="10" fillId="0" borderId="0" xfId="4" applyNumberFormat="1" applyFont="1" applyAlignment="1">
      <alignment horizontal="centerContinuous"/>
    </xf>
    <xf numFmtId="15" fontId="9" fillId="0" borderId="0" xfId="4" applyNumberFormat="1" applyFont="1" applyAlignment="1">
      <alignment horizontal="center"/>
    </xf>
    <xf numFmtId="0" fontId="9" fillId="0" borderId="0" xfId="4"/>
    <xf numFmtId="0" fontId="9" fillId="0" borderId="0" xfId="4" applyNumberFormat="1" applyFont="1" applyAlignment="1"/>
    <xf numFmtId="0" fontId="11" fillId="0" borderId="0" xfId="4" applyNumberFormat="1" applyFont="1" applyAlignment="1">
      <alignment horizontal="center"/>
    </xf>
    <xf numFmtId="0" fontId="9" fillId="10" borderId="10" xfId="4" applyNumberFormat="1" applyFont="1" applyFill="1" applyBorder="1" applyAlignment="1"/>
    <xf numFmtId="0" fontId="11" fillId="10" borderId="0" xfId="4" applyNumberFormat="1" applyFont="1" applyFill="1" applyAlignment="1">
      <alignment horizontal="center"/>
    </xf>
    <xf numFmtId="0" fontId="9" fillId="10" borderId="0" xfId="4" applyNumberFormat="1" applyFont="1" applyFill="1" applyAlignment="1"/>
    <xf numFmtId="0" fontId="9" fillId="0" borderId="0" xfId="4" applyNumberFormat="1" applyFont="1" applyAlignment="1">
      <alignment horizontal="center"/>
    </xf>
    <xf numFmtId="0" fontId="9" fillId="0" borderId="0" xfId="4" applyNumberFormat="1" applyFont="1" applyAlignment="1">
      <alignment horizontal="fill"/>
    </xf>
    <xf numFmtId="0" fontId="12" fillId="11" borderId="0" xfId="4" applyNumberFormat="1" applyFont="1" applyFill="1" applyAlignment="1">
      <alignment horizontal="center" vertical="center"/>
    </xf>
    <xf numFmtId="0" fontId="9" fillId="0" borderId="0" xfId="4" applyFont="1" applyBorder="1" applyAlignment="1" applyProtection="1">
      <alignment horizontal="center"/>
    </xf>
    <xf numFmtId="0" fontId="9" fillId="10" borderId="17" xfId="4" applyNumberFormat="1" applyFont="1" applyFill="1" applyBorder="1" applyAlignment="1"/>
    <xf numFmtId="0" fontId="9" fillId="10" borderId="18" xfId="4" applyNumberFormat="1" applyFont="1" applyFill="1" applyBorder="1" applyAlignment="1">
      <alignment horizontal="center" vertical="center"/>
    </xf>
    <xf numFmtId="0" fontId="9" fillId="10" borderId="19" xfId="4" applyNumberFormat="1" applyFont="1" applyFill="1" applyBorder="1" applyAlignment="1">
      <alignment horizontal="center" vertical="center"/>
    </xf>
    <xf numFmtId="0" fontId="9" fillId="0" borderId="0" xfId="4" applyNumberFormat="1" applyFont="1" applyAlignment="1">
      <alignment horizontal="center" vertical="center"/>
    </xf>
    <xf numFmtId="0" fontId="9" fillId="0" borderId="0" xfId="4" applyNumberFormat="1" applyFont="1" applyBorder="1" applyAlignment="1">
      <alignment horizontal="center" vertical="center"/>
    </xf>
    <xf numFmtId="0" fontId="9" fillId="0" borderId="0" xfId="4" applyNumberFormat="1" applyFont="1" applyBorder="1" applyAlignment="1">
      <alignment horizontal="center"/>
    </xf>
    <xf numFmtId="0" fontId="9" fillId="10" borderId="17" xfId="4" applyNumberFormat="1" applyFont="1" applyFill="1" applyBorder="1" applyAlignment="1">
      <alignment horizontal="center" vertical="center"/>
    </xf>
    <xf numFmtId="15" fontId="9" fillId="0" borderId="0" xfId="4" applyNumberFormat="1" applyFont="1" applyBorder="1" applyAlignment="1">
      <alignment horizontal="center" vertical="center"/>
    </xf>
    <xf numFmtId="15" fontId="9" fillId="10" borderId="17" xfId="4" applyNumberFormat="1" applyFont="1" applyFill="1" applyBorder="1" applyAlignment="1">
      <alignment horizontal="center" vertical="center"/>
    </xf>
    <xf numFmtId="0" fontId="6" fillId="0" borderId="0" xfId="4" applyNumberFormat="1" applyFont="1" applyAlignment="1">
      <alignment horizontal="center" vertical="top"/>
    </xf>
    <xf numFmtId="0" fontId="6" fillId="0" borderId="0" xfId="4" applyNumberFormat="1" applyFont="1" applyAlignment="1">
      <alignment horizontal="center" vertical="center"/>
    </xf>
    <xf numFmtId="0" fontId="13" fillId="11" borderId="0" xfId="4" applyNumberFormat="1" applyFont="1" applyFill="1" applyAlignment="1">
      <alignment horizontal="center" vertical="center" wrapText="1"/>
    </xf>
    <xf numFmtId="0" fontId="9" fillId="0" borderId="8" xfId="4" applyNumberFormat="1" applyFont="1" applyBorder="1" applyAlignment="1">
      <alignment horizontal="fill"/>
    </xf>
    <xf numFmtId="0" fontId="9" fillId="0" borderId="8" xfId="4" applyFont="1" applyBorder="1" applyAlignment="1" applyProtection="1">
      <alignment horizontal="fill"/>
    </xf>
    <xf numFmtId="0" fontId="9" fillId="10" borderId="20" xfId="4" applyNumberFormat="1" applyFont="1" applyFill="1" applyBorder="1" applyAlignment="1">
      <alignment horizontal="fill"/>
    </xf>
    <xf numFmtId="0" fontId="9" fillId="10" borderId="21" xfId="4" applyNumberFormat="1" applyFont="1" applyFill="1" applyBorder="1" applyAlignment="1">
      <alignment horizontal="fill"/>
    </xf>
    <xf numFmtId="0" fontId="9" fillId="10" borderId="22" xfId="4" applyNumberFormat="1" applyFont="1" applyFill="1" applyBorder="1" applyAlignment="1">
      <alignment horizontal="fill"/>
    </xf>
    <xf numFmtId="0" fontId="12" fillId="11" borderId="8" xfId="4" applyNumberFormat="1" applyFont="1" applyFill="1" applyBorder="1" applyAlignment="1">
      <alignment horizontal="center"/>
    </xf>
    <xf numFmtId="37" fontId="14" fillId="0" borderId="0" xfId="4" applyNumberFormat="1" applyFont="1" applyBorder="1" applyProtection="1"/>
    <xf numFmtId="37" fontId="9" fillId="0" borderId="0" xfId="4" applyNumberFormat="1" applyFont="1" applyBorder="1" applyProtection="1"/>
    <xf numFmtId="167" fontId="9" fillId="0" borderId="0" xfId="4" applyNumberFormat="1" applyFont="1" applyProtection="1"/>
    <xf numFmtId="3" fontId="14" fillId="10" borderId="17" xfId="4" applyNumberFormat="1" applyFont="1" applyFill="1" applyBorder="1" applyAlignment="1"/>
    <xf numFmtId="3" fontId="9" fillId="10" borderId="18" xfId="4" applyNumberFormat="1" applyFont="1" applyFill="1" applyBorder="1" applyAlignment="1"/>
    <xf numFmtId="168" fontId="9" fillId="10" borderId="19" xfId="4" applyNumberFormat="1" applyFont="1" applyFill="1" applyBorder="1" applyAlignment="1"/>
    <xf numFmtId="168" fontId="9" fillId="0" borderId="0" xfId="4" applyNumberFormat="1" applyFont="1" applyAlignment="1"/>
    <xf numFmtId="0" fontId="12" fillId="11" borderId="0" xfId="4" applyNumberFormat="1" applyFont="1" applyFill="1" applyAlignment="1">
      <alignment horizontal="center"/>
    </xf>
    <xf numFmtId="37" fontId="14" fillId="0" borderId="0" xfId="4" applyNumberFormat="1" applyFont="1" applyProtection="1"/>
    <xf numFmtId="37" fontId="9" fillId="0" borderId="0" xfId="4" applyNumberFormat="1" applyFont="1" applyProtection="1"/>
    <xf numFmtId="0" fontId="15" fillId="0" borderId="0" xfId="4" applyNumberFormat="1" applyFont="1" applyAlignment="1"/>
    <xf numFmtId="37" fontId="16" fillId="0" borderId="0" xfId="4" applyNumberFormat="1" applyFont="1" applyProtection="1"/>
    <xf numFmtId="37" fontId="15" fillId="0" borderId="0" xfId="4" applyNumberFormat="1" applyFont="1" applyProtection="1"/>
    <xf numFmtId="167" fontId="15" fillId="0" borderId="0" xfId="4" applyNumberFormat="1" applyFont="1" applyProtection="1"/>
    <xf numFmtId="3" fontId="16" fillId="10" borderId="17" xfId="4" applyNumberFormat="1" applyFont="1" applyFill="1" applyBorder="1" applyAlignment="1"/>
    <xf numFmtId="3" fontId="15" fillId="10" borderId="18" xfId="4" applyNumberFormat="1" applyFont="1" applyFill="1" applyBorder="1" applyAlignment="1"/>
    <xf numFmtId="168" fontId="15" fillId="10" borderId="19" xfId="4" applyNumberFormat="1" applyFont="1" applyFill="1" applyBorder="1" applyAlignment="1"/>
    <xf numFmtId="168" fontId="15" fillId="0" borderId="0" xfId="4" applyNumberFormat="1" applyFont="1" applyAlignment="1"/>
    <xf numFmtId="0" fontId="17" fillId="11" borderId="0" xfId="4" applyNumberFormat="1" applyFont="1" applyFill="1" applyAlignment="1">
      <alignment horizontal="center"/>
    </xf>
    <xf numFmtId="169" fontId="9" fillId="0" borderId="0" xfId="4" applyNumberFormat="1" applyFont="1" applyProtection="1"/>
    <xf numFmtId="1" fontId="9" fillId="10" borderId="17" xfId="4" applyNumberFormat="1" applyFont="1" applyFill="1" applyBorder="1" applyAlignment="1"/>
    <xf numFmtId="1" fontId="9" fillId="10" borderId="18" xfId="4" applyNumberFormat="1" applyFont="1" applyFill="1" applyBorder="1" applyAlignment="1"/>
    <xf numFmtId="3" fontId="9" fillId="10" borderId="17" xfId="4" applyNumberFormat="1" applyFont="1" applyFill="1" applyBorder="1" applyAlignment="1"/>
    <xf numFmtId="1" fontId="9" fillId="0" borderId="0" xfId="4" applyNumberFormat="1" applyFont="1" applyAlignment="1"/>
    <xf numFmtId="1" fontId="12" fillId="11" borderId="0" xfId="4" applyNumberFormat="1" applyFont="1" applyFill="1" applyAlignment="1">
      <alignment horizontal="center"/>
    </xf>
    <xf numFmtId="37" fontId="9" fillId="0" borderId="0" xfId="4" applyNumberFormat="1" applyFont="1" applyAlignment="1"/>
    <xf numFmtId="0" fontId="0" fillId="7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1" applyNumberFormat="1" applyFont="1"/>
    <xf numFmtId="10" fontId="0" fillId="0" borderId="0" xfId="3" applyNumberFormat="1" applyFont="1"/>
    <xf numFmtId="8" fontId="0" fillId="0" borderId="0" xfId="0" applyNumberFormat="1"/>
    <xf numFmtId="43" fontId="2" fillId="2" borderId="0" xfId="1" applyNumberFormat="1" applyFont="1" applyFill="1"/>
    <xf numFmtId="6" fontId="2" fillId="2" borderId="0" xfId="0" applyNumberFormat="1" applyFont="1" applyFill="1"/>
    <xf numFmtId="8" fontId="2" fillId="2" borderId="0" xfId="0" applyNumberFormat="1" applyFont="1" applyFill="1"/>
    <xf numFmtId="43" fontId="0" fillId="0" borderId="0" xfId="0" applyNumberFormat="1"/>
    <xf numFmtId="10" fontId="2" fillId="2" borderId="0" xfId="1" applyNumberFormat="1" applyFont="1" applyFill="1"/>
    <xf numFmtId="1" fontId="0" fillId="0" borderId="0" xfId="0" applyNumberFormat="1"/>
    <xf numFmtId="165" fontId="0" fillId="0" borderId="0" xfId="0" applyNumberFormat="1"/>
    <xf numFmtId="0" fontId="19" fillId="12" borderId="24" xfId="0" applyFont="1" applyFill="1" applyBorder="1" applyAlignment="1">
      <alignment horizontal="center" vertical="center" wrapText="1"/>
    </xf>
    <xf numFmtId="0" fontId="19" fillId="12" borderId="25" xfId="0" applyFont="1" applyFill="1" applyBorder="1" applyAlignment="1">
      <alignment horizontal="center" vertical="center" wrapText="1"/>
    </xf>
    <xf numFmtId="0" fontId="19" fillId="12" borderId="28" xfId="0" applyFont="1" applyFill="1" applyBorder="1" applyAlignment="1">
      <alignment horizontal="center" vertical="center" wrapText="1"/>
    </xf>
    <xf numFmtId="0" fontId="19" fillId="12" borderId="29" xfId="0" applyFont="1" applyFill="1" applyBorder="1" applyAlignment="1">
      <alignment horizontal="center" vertical="center" wrapText="1"/>
    </xf>
    <xf numFmtId="0" fontId="20" fillId="0" borderId="30" xfId="0" applyFont="1" applyBorder="1" applyAlignment="1">
      <alignment horizontal="right" vertical="center" wrapText="1"/>
    </xf>
    <xf numFmtId="0" fontId="20" fillId="0" borderId="31" xfId="0" applyFont="1" applyBorder="1" applyAlignment="1">
      <alignment horizontal="right" vertical="center" wrapText="1"/>
    </xf>
    <xf numFmtId="1" fontId="20" fillId="0" borderId="31" xfId="0" applyNumberFormat="1" applyFont="1" applyBorder="1" applyAlignment="1">
      <alignment horizontal="right" vertical="center" wrapText="1"/>
    </xf>
    <xf numFmtId="168" fontId="20" fillId="0" borderId="31" xfId="0" applyNumberFormat="1" applyFont="1" applyBorder="1" applyAlignment="1">
      <alignment horizontal="right" vertical="center" wrapText="1"/>
    </xf>
    <xf numFmtId="44" fontId="0" fillId="0" borderId="0" xfId="2" applyFont="1"/>
    <xf numFmtId="170" fontId="0" fillId="0" borderId="0" xfId="2" applyNumberFormat="1" applyFont="1"/>
    <xf numFmtId="44" fontId="0" fillId="0" borderId="0" xfId="0" applyNumberFormat="1"/>
    <xf numFmtId="0" fontId="20" fillId="14" borderId="30" xfId="0" applyFont="1" applyFill="1" applyBorder="1" applyAlignment="1">
      <alignment horizontal="right" vertical="center" wrapText="1"/>
    </xf>
    <xf numFmtId="0" fontId="20" fillId="14" borderId="31" xfId="0" applyFont="1" applyFill="1" applyBorder="1" applyAlignment="1">
      <alignment horizontal="right" vertical="center" wrapText="1"/>
    </xf>
    <xf numFmtId="1" fontId="20" fillId="14" borderId="31" xfId="0" applyNumberFormat="1" applyFont="1" applyFill="1" applyBorder="1" applyAlignment="1">
      <alignment horizontal="right" vertical="center" wrapText="1"/>
    </xf>
    <xf numFmtId="168" fontId="20" fillId="14" borderId="31" xfId="0" applyNumberFormat="1" applyFont="1" applyFill="1" applyBorder="1" applyAlignment="1">
      <alignment horizontal="right" vertical="center" wrapText="1"/>
    </xf>
    <xf numFmtId="0" fontId="20" fillId="0" borderId="32" xfId="0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right" vertical="center" wrapText="1"/>
    </xf>
    <xf numFmtId="0" fontId="0" fillId="0" borderId="0" xfId="0" applyBorder="1"/>
    <xf numFmtId="168" fontId="0" fillId="0" borderId="0" xfId="0" applyNumberFormat="1" applyBorder="1"/>
    <xf numFmtId="1" fontId="0" fillId="0" borderId="0" xfId="0" applyNumberFormat="1" applyBorder="1"/>
    <xf numFmtId="165" fontId="0" fillId="0" borderId="0" xfId="2" applyNumberFormat="1" applyFont="1"/>
    <xf numFmtId="44" fontId="0" fillId="13" borderId="0" xfId="2" applyFont="1" applyFill="1"/>
    <xf numFmtId="44" fontId="0" fillId="5" borderId="0" xfId="2" applyFont="1" applyFill="1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44" fontId="2" fillId="2" borderId="0" xfId="0" applyNumberFormat="1" applyFont="1" applyFill="1"/>
    <xf numFmtId="44" fontId="2" fillId="2" borderId="0" xfId="2" applyFont="1" applyFill="1"/>
    <xf numFmtId="1" fontId="8" fillId="2" borderId="0" xfId="0" applyNumberFormat="1" applyFont="1" applyFill="1" applyBorder="1" applyAlignment="1">
      <alignment horizontal="right"/>
    </xf>
    <xf numFmtId="1" fontId="2" fillId="2" borderId="0" xfId="0" applyNumberFormat="1" applyFont="1" applyFill="1"/>
    <xf numFmtId="0" fontId="0" fillId="2" borderId="0" xfId="0" applyFill="1" applyAlignment="1">
      <alignment horizontal="center" vertical="center" wrapText="1"/>
    </xf>
    <xf numFmtId="0" fontId="0" fillId="15" borderId="0" xfId="0" applyFill="1" applyAlignment="1"/>
    <xf numFmtId="164" fontId="0" fillId="15" borderId="0" xfId="1" applyNumberFormat="1" applyFont="1" applyFill="1" applyAlignment="1"/>
    <xf numFmtId="165" fontId="1" fillId="15" borderId="0" xfId="2" applyNumberFormat="1" applyFont="1" applyFill="1" applyAlignment="1">
      <alignment horizontal="center"/>
    </xf>
    <xf numFmtId="1" fontId="1" fillId="15" borderId="0" xfId="3" applyNumberFormat="1" applyFont="1" applyFill="1" applyBorder="1" applyAlignment="1">
      <alignment horizontal="right"/>
    </xf>
    <xf numFmtId="0" fontId="0" fillId="15" borderId="0" xfId="0" applyFill="1"/>
    <xf numFmtId="164" fontId="0" fillId="15" borderId="0" xfId="1" applyNumberFormat="1" applyFont="1" applyFill="1"/>
    <xf numFmtId="1" fontId="0" fillId="15" borderId="0" xfId="0" applyNumberFormat="1" applyFill="1"/>
    <xf numFmtId="44" fontId="0" fillId="15" borderId="0" xfId="0" applyNumberFormat="1" applyFill="1"/>
    <xf numFmtId="44" fontId="2" fillId="15" borderId="0" xfId="0" applyNumberFormat="1" applyFont="1" applyFill="1"/>
    <xf numFmtId="166" fontId="2" fillId="15" borderId="0" xfId="3" applyNumberFormat="1" applyFont="1" applyFill="1"/>
    <xf numFmtId="44" fontId="2" fillId="15" borderId="0" xfId="2" applyNumberFormat="1" applyFont="1" applyFill="1"/>
    <xf numFmtId="1" fontId="7" fillId="15" borderId="0" xfId="0" applyNumberFormat="1" applyFont="1" applyFill="1" applyBorder="1" applyAlignment="1">
      <alignment horizontal="right" vertical="center"/>
    </xf>
    <xf numFmtId="0" fontId="0" fillId="16" borderId="0" xfId="0" applyFill="1" applyAlignment="1"/>
    <xf numFmtId="164" fontId="0" fillId="16" borderId="0" xfId="1" applyNumberFormat="1" applyFont="1" applyFill="1" applyAlignment="1"/>
    <xf numFmtId="165" fontId="1" fillId="16" borderId="0" xfId="2" applyNumberFormat="1" applyFont="1" applyFill="1" applyAlignment="1">
      <alignment horizontal="center"/>
    </xf>
    <xf numFmtId="1" fontId="1" fillId="16" borderId="0" xfId="3" applyNumberFormat="1" applyFont="1" applyFill="1" applyBorder="1" applyAlignment="1">
      <alignment horizontal="right"/>
    </xf>
    <xf numFmtId="0" fontId="0" fillId="16" borderId="0" xfId="0" applyFill="1"/>
    <xf numFmtId="164" fontId="0" fillId="16" borderId="0" xfId="1" applyNumberFormat="1" applyFont="1" applyFill="1"/>
    <xf numFmtId="1" fontId="0" fillId="16" borderId="0" xfId="0" applyNumberFormat="1" applyFill="1"/>
    <xf numFmtId="44" fontId="0" fillId="16" borderId="0" xfId="0" applyNumberFormat="1" applyFill="1"/>
    <xf numFmtId="44" fontId="2" fillId="16" borderId="0" xfId="0" applyNumberFormat="1" applyFont="1" applyFill="1"/>
    <xf numFmtId="166" fontId="2" fillId="16" borderId="0" xfId="3" applyNumberFormat="1" applyFont="1" applyFill="1"/>
    <xf numFmtId="44" fontId="2" fillId="16" borderId="0" xfId="2" applyNumberFormat="1" applyFont="1" applyFill="1"/>
    <xf numFmtId="0" fontId="0" fillId="17" borderId="0" xfId="0" applyFill="1" applyAlignment="1"/>
    <xf numFmtId="164" fontId="0" fillId="17" borderId="0" xfId="1" applyNumberFormat="1" applyFont="1" applyFill="1" applyAlignment="1"/>
    <xf numFmtId="165" fontId="1" fillId="17" borderId="0" xfId="2" applyNumberFormat="1" applyFont="1" applyFill="1" applyAlignment="1">
      <alignment horizontal="center"/>
    </xf>
    <xf numFmtId="1" fontId="1" fillId="17" borderId="0" xfId="3" applyNumberFormat="1" applyFont="1" applyFill="1" applyBorder="1" applyAlignment="1">
      <alignment horizontal="right"/>
    </xf>
    <xf numFmtId="0" fontId="0" fillId="17" borderId="0" xfId="0" applyFill="1"/>
    <xf numFmtId="164" fontId="0" fillId="17" borderId="0" xfId="1" applyNumberFormat="1" applyFont="1" applyFill="1"/>
    <xf numFmtId="1" fontId="0" fillId="17" borderId="0" xfId="0" applyNumberFormat="1" applyFill="1"/>
    <xf numFmtId="44" fontId="0" fillId="17" borderId="0" xfId="0" applyNumberFormat="1" applyFill="1"/>
    <xf numFmtId="44" fontId="2" fillId="17" borderId="0" xfId="0" applyNumberFormat="1" applyFont="1" applyFill="1"/>
    <xf numFmtId="166" fontId="2" fillId="17" borderId="0" xfId="3" applyNumberFormat="1" applyFont="1" applyFill="1"/>
    <xf numFmtId="44" fontId="2" fillId="17" borderId="0" xfId="2" applyNumberFormat="1" applyFont="1" applyFill="1"/>
    <xf numFmtId="1" fontId="7" fillId="17" borderId="0" xfId="0" applyNumberFormat="1" applyFont="1" applyFill="1" applyBorder="1" applyAlignment="1">
      <alignment horizontal="right"/>
    </xf>
    <xf numFmtId="0" fontId="0" fillId="18" borderId="0" xfId="0" applyFill="1" applyAlignment="1"/>
    <xf numFmtId="164" fontId="0" fillId="18" borderId="0" xfId="1" applyNumberFormat="1" applyFont="1" applyFill="1" applyAlignment="1"/>
    <xf numFmtId="165" fontId="1" fillId="18" borderId="0" xfId="2" applyNumberFormat="1" applyFont="1" applyFill="1" applyAlignment="1">
      <alignment horizontal="center"/>
    </xf>
    <xf numFmtId="1" fontId="1" fillId="18" borderId="0" xfId="3" applyNumberFormat="1" applyFont="1" applyFill="1" applyBorder="1" applyAlignment="1">
      <alignment horizontal="right"/>
    </xf>
    <xf numFmtId="0" fontId="0" fillId="18" borderId="0" xfId="0" applyFill="1"/>
    <xf numFmtId="164" fontId="0" fillId="18" borderId="0" xfId="1" applyNumberFormat="1" applyFont="1" applyFill="1"/>
    <xf numFmtId="1" fontId="0" fillId="18" borderId="0" xfId="0" applyNumberFormat="1" applyFill="1"/>
    <xf numFmtId="44" fontId="0" fillId="18" borderId="0" xfId="0" applyNumberFormat="1" applyFill="1"/>
    <xf numFmtId="44" fontId="2" fillId="18" borderId="0" xfId="0" applyNumberFormat="1" applyFont="1" applyFill="1"/>
    <xf numFmtId="166" fontId="2" fillId="18" borderId="0" xfId="3" applyNumberFormat="1" applyFont="1" applyFill="1"/>
    <xf numFmtId="44" fontId="2" fillId="18" borderId="0" xfId="2" applyNumberFormat="1" applyFont="1" applyFill="1"/>
    <xf numFmtId="0" fontId="0" fillId="19" borderId="0" xfId="0" applyFill="1" applyAlignment="1"/>
    <xf numFmtId="164" fontId="0" fillId="19" borderId="0" xfId="1" applyNumberFormat="1" applyFont="1" applyFill="1" applyAlignment="1"/>
    <xf numFmtId="165" fontId="1" fillId="19" borderId="0" xfId="2" applyNumberFormat="1" applyFont="1" applyFill="1" applyAlignment="1">
      <alignment horizontal="center"/>
    </xf>
    <xf numFmtId="1" fontId="1" fillId="19" borderId="0" xfId="3" applyNumberFormat="1" applyFont="1" applyFill="1" applyBorder="1" applyAlignment="1">
      <alignment horizontal="right"/>
    </xf>
    <xf numFmtId="0" fontId="0" fillId="19" borderId="0" xfId="0" applyFill="1"/>
    <xf numFmtId="164" fontId="0" fillId="19" borderId="0" xfId="1" applyNumberFormat="1" applyFont="1" applyFill="1"/>
    <xf numFmtId="1" fontId="0" fillId="19" borderId="0" xfId="0" applyNumberFormat="1" applyFill="1"/>
    <xf numFmtId="44" fontId="0" fillId="19" borderId="0" xfId="0" applyNumberFormat="1" applyFill="1"/>
    <xf numFmtId="44" fontId="2" fillId="19" borderId="0" xfId="0" applyNumberFormat="1" applyFont="1" applyFill="1"/>
    <xf numFmtId="166" fontId="2" fillId="19" borderId="0" xfId="3" applyNumberFormat="1" applyFont="1" applyFill="1"/>
    <xf numFmtId="44" fontId="2" fillId="19" borderId="0" xfId="2" applyNumberFormat="1" applyFont="1" applyFill="1"/>
    <xf numFmtId="1" fontId="7" fillId="19" borderId="0" xfId="0" applyNumberFormat="1" applyFont="1" applyFill="1" applyBorder="1" applyAlignment="1">
      <alignment horizontal="right" vertical="center"/>
    </xf>
    <xf numFmtId="165" fontId="2" fillId="3" borderId="0" xfId="2" applyNumberFormat="1" applyFont="1" applyFill="1" applyAlignment="1">
      <alignment horizontal="center"/>
    </xf>
    <xf numFmtId="165" fontId="2" fillId="4" borderId="0" xfId="2" applyNumberFormat="1" applyFont="1" applyFill="1" applyAlignment="1">
      <alignment horizontal="center"/>
    </xf>
    <xf numFmtId="165" fontId="2" fillId="5" borderId="0" xfId="2" applyNumberFormat="1" applyFont="1" applyFill="1" applyAlignment="1">
      <alignment horizontal="center"/>
    </xf>
    <xf numFmtId="165" fontId="2" fillId="6" borderId="0" xfId="2" applyNumberFormat="1" applyFont="1" applyFill="1" applyAlignment="1">
      <alignment horizontal="center"/>
    </xf>
    <xf numFmtId="165" fontId="2" fillId="7" borderId="0" xfId="2" applyNumberFormat="1" applyFont="1" applyFill="1" applyAlignment="1">
      <alignment horizontal="center"/>
    </xf>
    <xf numFmtId="44" fontId="2" fillId="3" borderId="0" xfId="2" applyNumberFormat="1" applyFont="1" applyFill="1" applyAlignment="1">
      <alignment horizontal="center"/>
    </xf>
    <xf numFmtId="44" fontId="2" fillId="4" borderId="0" xfId="2" applyNumberFormat="1" applyFont="1" applyFill="1" applyAlignment="1">
      <alignment horizontal="center"/>
    </xf>
    <xf numFmtId="44" fontId="2" fillId="5" borderId="0" xfId="2" applyNumberFormat="1" applyFont="1" applyFill="1" applyAlignment="1">
      <alignment horizontal="center"/>
    </xf>
    <xf numFmtId="44" fontId="2" fillId="6" borderId="0" xfId="2" applyNumberFormat="1" applyFont="1" applyFill="1" applyAlignment="1">
      <alignment horizontal="center"/>
    </xf>
    <xf numFmtId="44" fontId="2" fillId="7" borderId="0" xfId="2" applyNumberFormat="1" applyFont="1" applyFill="1" applyAlignment="1">
      <alignment horizontal="center"/>
    </xf>
    <xf numFmtId="44" fontId="2" fillId="2" borderId="0" xfId="2" applyNumberFormat="1" applyFont="1" applyFill="1" applyAlignment="1">
      <alignment horizontal="center"/>
    </xf>
    <xf numFmtId="165" fontId="2" fillId="15" borderId="0" xfId="0" applyNumberFormat="1" applyFont="1" applyFill="1"/>
    <xf numFmtId="165" fontId="2" fillId="16" borderId="0" xfId="0" applyNumberFormat="1" applyFont="1" applyFill="1"/>
    <xf numFmtId="165" fontId="2" fillId="17" borderId="0" xfId="0" applyNumberFormat="1" applyFont="1" applyFill="1"/>
    <xf numFmtId="165" fontId="2" fillId="18" borderId="0" xfId="0" applyNumberFormat="1" applyFont="1" applyFill="1"/>
    <xf numFmtId="165" fontId="2" fillId="19" borderId="0" xfId="0" applyNumberFormat="1" applyFont="1" applyFill="1"/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0" fillId="13" borderId="0" xfId="0" applyFill="1" applyAlignment="1">
      <alignment horizontal="center" wrapText="1"/>
    </xf>
    <xf numFmtId="0" fontId="0" fillId="5" borderId="0" xfId="0" applyFill="1" applyAlignment="1">
      <alignment horizontal="center" wrapText="1"/>
    </xf>
    <xf numFmtId="0" fontId="19" fillId="12" borderId="23" xfId="0" applyFont="1" applyFill="1" applyBorder="1" applyAlignment="1">
      <alignment horizontal="center" vertical="center" wrapText="1"/>
    </xf>
    <xf numFmtId="0" fontId="19" fillId="12" borderId="27" xfId="0" applyFont="1" applyFill="1" applyBorder="1" applyAlignment="1">
      <alignment horizontal="center" vertical="center" wrapText="1"/>
    </xf>
    <xf numFmtId="0" fontId="19" fillId="12" borderId="24" xfId="0" applyFont="1" applyFill="1" applyBorder="1" applyAlignment="1">
      <alignment horizontal="center" vertical="center" wrapText="1"/>
    </xf>
    <xf numFmtId="0" fontId="19" fillId="12" borderId="28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15" fontId="12" fillId="0" borderId="12" xfId="4" quotePrefix="1" applyNumberFormat="1" applyFont="1" applyBorder="1" applyAlignment="1">
      <alignment horizontal="center" wrapText="1"/>
    </xf>
    <xf numFmtId="0" fontId="12" fillId="0" borderId="12" xfId="4" applyFont="1" applyBorder="1" applyAlignment="1">
      <alignment horizontal="center" wrapText="1"/>
    </xf>
    <xf numFmtId="0" fontId="12" fillId="0" borderId="13" xfId="4" applyFont="1" applyBorder="1" applyAlignment="1">
      <alignment horizontal="center"/>
    </xf>
    <xf numFmtId="0" fontId="12" fillId="10" borderId="14" xfId="4" quotePrefix="1" applyNumberFormat="1" applyFont="1" applyFill="1" applyBorder="1" applyAlignment="1">
      <alignment horizontal="center" vertical="center"/>
    </xf>
    <xf numFmtId="0" fontId="12" fillId="10" borderId="15" xfId="4" applyFont="1" applyFill="1" applyBorder="1" applyAlignment="1">
      <alignment horizontal="center"/>
    </xf>
    <xf numFmtId="0" fontId="12" fillId="10" borderId="16" xfId="4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colors>
    <mruColors>
      <color rgb="FFA3CBDF"/>
      <color rgb="FF9C9EE6"/>
      <color rgb="FFD7F6FD"/>
      <color rgb="FFD4C4E2"/>
      <color rgb="FFF1DBF7"/>
      <color rgb="FFD1A7CC"/>
      <color rgb="FFE395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Averate CT rates from 2014-16 (per 100,000)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CT!$L$3:$L$36</c:f>
              <c:numCache>
                <c:formatCode>0.0</c:formatCode>
                <c:ptCount val="34"/>
                <c:pt idx="0">
                  <c:v>315.86666666666667</c:v>
                </c:pt>
                <c:pt idx="1">
                  <c:v>440.16666666666669</c:v>
                </c:pt>
                <c:pt idx="2">
                  <c:v>290.7</c:v>
                </c:pt>
                <c:pt idx="3">
                  <c:v>314.56666666666666</c:v>
                </c:pt>
                <c:pt idx="4">
                  <c:v>286.66666666666669</c:v>
                </c:pt>
                <c:pt idx="5">
                  <c:v>261.83333333333331</c:v>
                </c:pt>
                <c:pt idx="6">
                  <c:v>254.56666666666669</c:v>
                </c:pt>
                <c:pt idx="7">
                  <c:v>176.4666666666667</c:v>
                </c:pt>
                <c:pt idx="8">
                  <c:v>308.43333333333334</c:v>
                </c:pt>
                <c:pt idx="9">
                  <c:v>284.33333333333331</c:v>
                </c:pt>
                <c:pt idx="10">
                  <c:v>81.2</c:v>
                </c:pt>
                <c:pt idx="11">
                  <c:v>289.8</c:v>
                </c:pt>
                <c:pt idx="12">
                  <c:v>312.56666666666666</c:v>
                </c:pt>
                <c:pt idx="13">
                  <c:v>330.16666666666669</c:v>
                </c:pt>
                <c:pt idx="14">
                  <c:v>657.9</c:v>
                </c:pt>
                <c:pt idx="15">
                  <c:v>313.9666666666667</c:v>
                </c:pt>
                <c:pt idx="16">
                  <c:v>422.7</c:v>
                </c:pt>
                <c:pt idx="17">
                  <c:v>256.23333333333329</c:v>
                </c:pt>
                <c:pt idx="18">
                  <c:v>444.93333333333334</c:v>
                </c:pt>
                <c:pt idx="19">
                  <c:v>284.73333333333329</c:v>
                </c:pt>
                <c:pt idx="20">
                  <c:v>361.5333333333333</c:v>
                </c:pt>
                <c:pt idx="21">
                  <c:v>392.13333333333338</c:v>
                </c:pt>
                <c:pt idx="22">
                  <c:v>508.60000000000008</c:v>
                </c:pt>
                <c:pt idx="23">
                  <c:v>290.63333333333338</c:v>
                </c:pt>
                <c:pt idx="24">
                  <c:v>595.86666666666667</c:v>
                </c:pt>
                <c:pt idx="25">
                  <c:v>367.23632542447871</c:v>
                </c:pt>
                <c:pt idx="26">
                  <c:v>360.86666666666662</c:v>
                </c:pt>
                <c:pt idx="27">
                  <c:v>186.06666666666669</c:v>
                </c:pt>
                <c:pt idx="28">
                  <c:v>385.10000000000008</c:v>
                </c:pt>
                <c:pt idx="29">
                  <c:v>404.09999999999997</c:v>
                </c:pt>
                <c:pt idx="30">
                  <c:v>166.76666666666665</c:v>
                </c:pt>
                <c:pt idx="31">
                  <c:v>366.09999999999997</c:v>
                </c:pt>
                <c:pt idx="32">
                  <c:v>141.6</c:v>
                </c:pt>
                <c:pt idx="33">
                  <c:v>316.4666666666667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B40-40A0-9A74-52F7B5901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882712"/>
        <c:axId val="225691296"/>
      </c:scatterChart>
      <c:valAx>
        <c:axId val="164882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691296"/>
        <c:crosses val="autoZero"/>
        <c:crossBetween val="midCat"/>
      </c:valAx>
      <c:valAx>
        <c:axId val="22569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882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267942</xdr:colOff>
      <xdr:row>3</xdr:row>
      <xdr:rowOff>117199</xdr:rowOff>
    </xdr:from>
    <xdr:to>
      <xdr:col>23</xdr:col>
      <xdr:colOff>572743</xdr:colOff>
      <xdr:row>15</xdr:row>
      <xdr:rowOff>137492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D30AE74-7D68-46C9-B486-4D2AEE19FB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0"/>
  <sheetViews>
    <sheetView tabSelected="1" zoomScale="85" zoomScaleNormal="85" workbookViewId="0">
      <selection activeCell="J52" sqref="J52"/>
    </sheetView>
  </sheetViews>
  <sheetFormatPr defaultRowHeight="15" x14ac:dyDescent="0.25"/>
  <cols>
    <col min="1" max="1" width="4.42578125" customWidth="1"/>
    <col min="2" max="2" width="16.7109375" customWidth="1"/>
    <col min="3" max="3" width="11.7109375" customWidth="1"/>
    <col min="4" max="4" width="11.5703125" customWidth="1"/>
    <col min="5" max="5" width="15" customWidth="1"/>
    <col min="6" max="6" width="13.85546875" customWidth="1"/>
    <col min="7" max="7" width="14.42578125" customWidth="1"/>
    <col min="8" max="8" width="12.7109375" customWidth="1"/>
    <col min="9" max="9" width="13" customWidth="1"/>
    <col min="10" max="10" width="12.7109375" customWidth="1"/>
    <col min="11" max="11" width="12.85546875" customWidth="1"/>
    <col min="12" max="12" width="12.7109375" customWidth="1"/>
    <col min="13" max="13" width="13" customWidth="1"/>
    <col min="14" max="14" width="13.140625" customWidth="1"/>
    <col min="15" max="15" width="13.85546875" customWidth="1"/>
    <col min="16" max="16" width="13.28515625" customWidth="1"/>
    <col min="17" max="17" width="13.85546875" customWidth="1"/>
    <col min="18" max="18" width="11.42578125" customWidth="1"/>
    <col min="19" max="19" width="11.140625" customWidth="1"/>
    <col min="20" max="20" width="10.7109375" customWidth="1"/>
    <col min="21" max="21" width="12.28515625" customWidth="1"/>
  </cols>
  <sheetData>
    <row r="2" spans="2:21" x14ac:dyDescent="0.25">
      <c r="D2" s="131"/>
      <c r="E2" s="131"/>
      <c r="F2" s="131"/>
      <c r="G2" s="131"/>
      <c r="H2" s="131"/>
      <c r="I2" s="131"/>
      <c r="J2" s="131"/>
    </row>
    <row r="3" spans="2:21" ht="17.25" customHeight="1" x14ac:dyDescent="0.25">
      <c r="F3" s="217" t="s">
        <v>127</v>
      </c>
      <c r="G3" s="217"/>
      <c r="L3" s="218" t="s">
        <v>160</v>
      </c>
      <c r="M3" s="218"/>
    </row>
    <row r="4" spans="2:21" ht="47.25" x14ac:dyDescent="0.25">
      <c r="B4" s="1" t="s">
        <v>0</v>
      </c>
      <c r="C4" s="1" t="s">
        <v>126</v>
      </c>
      <c r="D4" s="1" t="s">
        <v>1</v>
      </c>
      <c r="E4" s="1" t="s">
        <v>128</v>
      </c>
      <c r="F4" s="1" t="s">
        <v>161</v>
      </c>
      <c r="G4" s="1" t="s">
        <v>146</v>
      </c>
      <c r="H4" s="1" t="s">
        <v>124</v>
      </c>
      <c r="I4" s="1" t="s">
        <v>123</v>
      </c>
      <c r="J4" s="1" t="s">
        <v>152</v>
      </c>
      <c r="K4" s="134" t="s">
        <v>157</v>
      </c>
      <c r="L4" s="134" t="s">
        <v>161</v>
      </c>
      <c r="M4" s="134" t="s">
        <v>146</v>
      </c>
      <c r="N4" s="134" t="s">
        <v>158</v>
      </c>
      <c r="O4" s="134" t="s">
        <v>159</v>
      </c>
      <c r="P4" s="134" t="s">
        <v>115</v>
      </c>
      <c r="Q4" s="134" t="s">
        <v>147</v>
      </c>
      <c r="R4" s="134" t="s">
        <v>148</v>
      </c>
      <c r="S4" s="134" t="s">
        <v>149</v>
      </c>
      <c r="T4" s="134" t="s">
        <v>150</v>
      </c>
      <c r="U4" s="134" t="s">
        <v>151</v>
      </c>
    </row>
    <row r="5" spans="2:21" x14ac:dyDescent="0.25">
      <c r="B5" s="141" t="s">
        <v>2</v>
      </c>
      <c r="C5" s="142">
        <v>1445</v>
      </c>
      <c r="D5" s="143">
        <v>5000</v>
      </c>
      <c r="E5" s="152">
        <v>60</v>
      </c>
      <c r="F5" s="145">
        <v>2</v>
      </c>
      <c r="G5" s="145">
        <v>6</v>
      </c>
      <c r="H5" s="146">
        <v>51.112748710390569</v>
      </c>
      <c r="I5" s="147">
        <v>10.462590506838295</v>
      </c>
      <c r="J5" s="145">
        <v>3</v>
      </c>
      <c r="K5" s="148">
        <f>(E5/$E$39)*$K$39</f>
        <v>8.2096262309996906</v>
      </c>
      <c r="L5" s="148">
        <f>(F5/$F$39)*$L$39</f>
        <v>303.14960629921262</v>
      </c>
      <c r="M5" s="148">
        <f>(G5/$G$39)*$M$39</f>
        <v>2.3480859541767467</v>
      </c>
      <c r="N5" s="148">
        <f>(H5/$H$39)*$N$39</f>
        <v>4.0301257260019732</v>
      </c>
      <c r="O5" s="148">
        <f>(I5/$I$39)*$O$39</f>
        <v>1.5905379837928981</v>
      </c>
      <c r="P5" s="148">
        <f>(J5/$J$39)*$P$39</f>
        <v>1343.0232558139535</v>
      </c>
      <c r="Q5" s="149">
        <f t="shared" ref="Q5:Q38" si="0">SUM(K5:P5,D5)</f>
        <v>6662.3512380081374</v>
      </c>
      <c r="R5" s="150">
        <f t="shared" ref="R5:R38" si="1">Q5/$Q$39</f>
        <v>1.3324702476016276E-2</v>
      </c>
      <c r="S5" s="150">
        <f t="shared" ref="S5:S38" si="2">C5/$C$39</f>
        <v>3.6000393637522125E-4</v>
      </c>
      <c r="T5" s="151">
        <f t="shared" ref="T5:T38" si="3">Q5/C5</f>
        <v>4.6106236941232783</v>
      </c>
    </row>
    <row r="6" spans="2:21" x14ac:dyDescent="0.25">
      <c r="B6" s="141" t="s">
        <v>3</v>
      </c>
      <c r="C6" s="142">
        <v>7100</v>
      </c>
      <c r="D6" s="143">
        <v>5000</v>
      </c>
      <c r="E6" s="144">
        <v>345</v>
      </c>
      <c r="F6" s="145">
        <v>2</v>
      </c>
      <c r="G6" s="145">
        <v>35</v>
      </c>
      <c r="H6" s="146">
        <v>177.16524009865083</v>
      </c>
      <c r="I6" s="147">
        <v>36.531476997578693</v>
      </c>
      <c r="J6" s="145">
        <v>3</v>
      </c>
      <c r="K6" s="148">
        <f>(E6/$E$39)*$K$39</f>
        <v>47.205350828248221</v>
      </c>
      <c r="L6" s="148">
        <f t="shared" ref="L6:L38" si="4">(F6/$F$39)*$L$39</f>
        <v>303.14960629921262</v>
      </c>
      <c r="M6" s="148">
        <f t="shared" ref="M6:M38" si="5">(G6/$G$39)*$M$39</f>
        <v>13.697168066031024</v>
      </c>
      <c r="N6" s="148">
        <f t="shared" ref="N6:N38" si="6">(H6/$H$39)*$N$39</f>
        <v>13.969082271831379</v>
      </c>
      <c r="O6" s="148">
        <f t="shared" ref="O6:O38" si="7">(I6/$I$39)*$O$39</f>
        <v>5.5535674201077176</v>
      </c>
      <c r="P6" s="148">
        <f t="shared" ref="P6:P38" si="8">(J6/$J$39)*$P$39</f>
        <v>1343.0232558139535</v>
      </c>
      <c r="Q6" s="149">
        <f t="shared" si="0"/>
        <v>6726.5980306993843</v>
      </c>
      <c r="R6" s="150">
        <f t="shared" si="1"/>
        <v>1.345319606139877E-2</v>
      </c>
      <c r="S6" s="150">
        <f t="shared" si="2"/>
        <v>1.7688774728471079E-3</v>
      </c>
      <c r="T6" s="151">
        <f t="shared" si="3"/>
        <v>0.94740817333794147</v>
      </c>
    </row>
    <row r="7" spans="2:21" x14ac:dyDescent="0.25">
      <c r="B7" s="141" t="s">
        <v>4</v>
      </c>
      <c r="C7" s="142">
        <v>7295</v>
      </c>
      <c r="D7" s="143">
        <v>5000</v>
      </c>
      <c r="E7" s="144">
        <v>439</v>
      </c>
      <c r="F7" s="145">
        <v>3</v>
      </c>
      <c r="G7" s="145">
        <v>63</v>
      </c>
      <c r="H7" s="146">
        <v>322.85881704122431</v>
      </c>
      <c r="I7" s="147">
        <v>41.895190236898785</v>
      </c>
      <c r="J7" s="145">
        <v>3</v>
      </c>
      <c r="K7" s="148">
        <f t="shared" ref="K7:K38" si="9">(E7/$E$39)*$K$39</f>
        <v>60.067098590147737</v>
      </c>
      <c r="L7" s="148">
        <f t="shared" si="4"/>
        <v>454.7244094488189</v>
      </c>
      <c r="M7" s="148">
        <f t="shared" si="5"/>
        <v>24.654902518855842</v>
      </c>
      <c r="N7" s="148">
        <f t="shared" si="6"/>
        <v>25.456694410956082</v>
      </c>
      <c r="O7" s="148">
        <f t="shared" si="7"/>
        <v>6.3689667837486361</v>
      </c>
      <c r="P7" s="148">
        <f t="shared" si="8"/>
        <v>1343.0232558139535</v>
      </c>
      <c r="Q7" s="149">
        <f t="shared" si="0"/>
        <v>6914.2953275664804</v>
      </c>
      <c r="R7" s="150">
        <f t="shared" si="1"/>
        <v>1.3828590655132962E-2</v>
      </c>
      <c r="S7" s="150">
        <f t="shared" si="2"/>
        <v>1.8174593189323454E-3</v>
      </c>
      <c r="T7" s="151">
        <f t="shared" si="3"/>
        <v>0.94781293044091575</v>
      </c>
    </row>
    <row r="8" spans="2:21" x14ac:dyDescent="0.25">
      <c r="B8" s="141" t="s">
        <v>5</v>
      </c>
      <c r="C8" s="142">
        <v>7430</v>
      </c>
      <c r="D8" s="143">
        <v>5000</v>
      </c>
      <c r="E8" s="144">
        <v>358</v>
      </c>
      <c r="F8" s="145">
        <v>1</v>
      </c>
      <c r="G8" s="145">
        <v>18</v>
      </c>
      <c r="H8" s="146">
        <v>241.41160409556315</v>
      </c>
      <c r="I8" s="147">
        <v>44.389758179231862</v>
      </c>
      <c r="J8" s="145">
        <v>3</v>
      </c>
      <c r="K8" s="148">
        <f t="shared" si="9"/>
        <v>48.984103178298156</v>
      </c>
      <c r="L8" s="148">
        <f t="shared" si="4"/>
        <v>151.57480314960631</v>
      </c>
      <c r="M8" s="148">
        <f t="shared" si="5"/>
        <v>7.0442578625302401</v>
      </c>
      <c r="N8" s="148">
        <f t="shared" si="6"/>
        <v>19.03476413944356</v>
      </c>
      <c r="O8" s="148">
        <f t="shared" si="7"/>
        <v>6.7481945727784742</v>
      </c>
      <c r="P8" s="148">
        <f t="shared" si="8"/>
        <v>1343.0232558139535</v>
      </c>
      <c r="Q8" s="149">
        <f t="shared" si="0"/>
        <v>6576.4093787166103</v>
      </c>
      <c r="R8" s="150">
        <f t="shared" si="1"/>
        <v>1.3152818757433222E-2</v>
      </c>
      <c r="S8" s="150">
        <f t="shared" si="2"/>
        <v>1.8510929046836636E-3</v>
      </c>
      <c r="T8" s="151">
        <f t="shared" si="3"/>
        <v>0.88511566335351421</v>
      </c>
    </row>
    <row r="9" spans="2:21" x14ac:dyDescent="0.25">
      <c r="B9" s="141" t="s">
        <v>6</v>
      </c>
      <c r="C9" s="142">
        <v>8010</v>
      </c>
      <c r="D9" s="143">
        <v>5000</v>
      </c>
      <c r="E9" s="144">
        <v>399</v>
      </c>
      <c r="F9" s="145">
        <v>3</v>
      </c>
      <c r="G9" s="145">
        <v>61</v>
      </c>
      <c r="H9" s="146">
        <v>596.61955691367461</v>
      </c>
      <c r="I9" s="147">
        <v>160.32657361074533</v>
      </c>
      <c r="J9" s="145">
        <v>3</v>
      </c>
      <c r="K9" s="148">
        <f t="shared" si="9"/>
        <v>54.594014436147944</v>
      </c>
      <c r="L9" s="148">
        <f t="shared" si="4"/>
        <v>454.7244094488189</v>
      </c>
      <c r="M9" s="148">
        <f t="shared" si="5"/>
        <v>23.872207200796925</v>
      </c>
      <c r="N9" s="148">
        <f t="shared" si="6"/>
        <v>47.042115433422275</v>
      </c>
      <c r="O9" s="148">
        <f t="shared" si="7"/>
        <v>24.37307519324094</v>
      </c>
      <c r="P9" s="148">
        <f t="shared" si="8"/>
        <v>1343.0232558139535</v>
      </c>
      <c r="Q9" s="149">
        <f t="shared" si="0"/>
        <v>6947.6290775263806</v>
      </c>
      <c r="R9" s="150">
        <f t="shared" si="1"/>
        <v>1.3895258155052763E-2</v>
      </c>
      <c r="S9" s="150">
        <f t="shared" si="2"/>
        <v>1.9955927545782163E-3</v>
      </c>
      <c r="T9" s="151">
        <f t="shared" si="3"/>
        <v>0.86736942291215735</v>
      </c>
    </row>
    <row r="10" spans="2:21" x14ac:dyDescent="0.25">
      <c r="B10" s="141" t="s">
        <v>7</v>
      </c>
      <c r="C10" s="142">
        <v>11630</v>
      </c>
      <c r="D10" s="143">
        <v>5000</v>
      </c>
      <c r="E10" s="144">
        <v>809</v>
      </c>
      <c r="F10" s="145">
        <v>3</v>
      </c>
      <c r="G10" s="145">
        <v>101</v>
      </c>
      <c r="H10" s="146">
        <v>3859.0407417313008</v>
      </c>
      <c r="I10" s="147">
        <v>1597.8608695652174</v>
      </c>
      <c r="J10" s="145">
        <v>3</v>
      </c>
      <c r="K10" s="148">
        <f t="shared" si="9"/>
        <v>110.69312701464582</v>
      </c>
      <c r="L10" s="148">
        <f t="shared" si="4"/>
        <v>454.7244094488189</v>
      </c>
      <c r="M10" s="148">
        <f t="shared" si="5"/>
        <v>39.526113561975244</v>
      </c>
      <c r="N10" s="148">
        <f t="shared" si="6"/>
        <v>304.27671693147357</v>
      </c>
      <c r="O10" s="148">
        <f t="shared" si="7"/>
        <v>242.90909638475713</v>
      </c>
      <c r="P10" s="148">
        <f t="shared" si="8"/>
        <v>1343.0232558139535</v>
      </c>
      <c r="Q10" s="149">
        <f t="shared" si="0"/>
        <v>7495.1527191556243</v>
      </c>
      <c r="R10" s="150">
        <f t="shared" si="1"/>
        <v>1.4990305438311251E-2</v>
      </c>
      <c r="S10" s="150">
        <f t="shared" si="2"/>
        <v>2.8974711280580091E-3</v>
      </c>
      <c r="T10" s="151">
        <f t="shared" si="3"/>
        <v>0.6444671297640262</v>
      </c>
    </row>
    <row r="11" spans="2:21" x14ac:dyDescent="0.25">
      <c r="B11" s="141" t="s">
        <v>8</v>
      </c>
      <c r="C11" s="142">
        <v>16425</v>
      </c>
      <c r="D11" s="143">
        <v>5000</v>
      </c>
      <c r="E11" s="144">
        <v>798</v>
      </c>
      <c r="F11" s="145">
        <v>4</v>
      </c>
      <c r="G11" s="145">
        <v>155</v>
      </c>
      <c r="H11" s="146">
        <v>600.75238332606398</v>
      </c>
      <c r="I11" s="147">
        <v>161.11365419827362</v>
      </c>
      <c r="J11" s="145">
        <v>2</v>
      </c>
      <c r="K11" s="148">
        <f t="shared" si="9"/>
        <v>109.18802887229589</v>
      </c>
      <c r="L11" s="148">
        <f t="shared" si="4"/>
        <v>606.29921259842524</v>
      </c>
      <c r="M11" s="148">
        <f t="shared" si="5"/>
        <v>60.658887149565956</v>
      </c>
      <c r="N11" s="148">
        <f t="shared" si="6"/>
        <v>47.367979537112802</v>
      </c>
      <c r="O11" s="148">
        <f t="shared" si="7"/>
        <v>24.492728310693213</v>
      </c>
      <c r="P11" s="148">
        <f t="shared" si="8"/>
        <v>895.34883720930236</v>
      </c>
      <c r="Q11" s="149">
        <f t="shared" si="0"/>
        <v>6743.3556736773953</v>
      </c>
      <c r="R11" s="150">
        <f t="shared" si="1"/>
        <v>1.3486711347354793E-2</v>
      </c>
      <c r="S11" s="150">
        <f t="shared" si="2"/>
        <v>4.0920862664103868E-3</v>
      </c>
      <c r="T11" s="151">
        <f t="shared" si="3"/>
        <v>0.41055437891490992</v>
      </c>
      <c r="U11" s="149">
        <f>SUM(Q5:Q11)/SUM(C5:C11)</f>
        <v>0.81007485371787336</v>
      </c>
    </row>
    <row r="12" spans="2:21" x14ac:dyDescent="0.25">
      <c r="B12" s="153" t="s">
        <v>9</v>
      </c>
      <c r="C12" s="154">
        <v>21085</v>
      </c>
      <c r="D12" s="155">
        <v>7500</v>
      </c>
      <c r="E12" s="156">
        <v>1105</v>
      </c>
      <c r="F12" s="157">
        <v>3</v>
      </c>
      <c r="G12" s="157">
        <v>162</v>
      </c>
      <c r="H12" s="158">
        <v>1533.8784979324935</v>
      </c>
      <c r="I12" s="159">
        <v>421.2156020576337</v>
      </c>
      <c r="J12" s="157">
        <v>3</v>
      </c>
      <c r="K12" s="160">
        <f t="shared" si="9"/>
        <v>151.19394975424433</v>
      </c>
      <c r="L12" s="160">
        <f t="shared" si="4"/>
        <v>454.7244094488189</v>
      </c>
      <c r="M12" s="160">
        <f t="shared" si="5"/>
        <v>63.398320762772158</v>
      </c>
      <c r="N12" s="160">
        <f t="shared" si="6"/>
        <v>120.94288315631792</v>
      </c>
      <c r="O12" s="160">
        <f t="shared" si="7"/>
        <v>64.033798704152517</v>
      </c>
      <c r="P12" s="160">
        <f t="shared" si="8"/>
        <v>1343.0232558139535</v>
      </c>
      <c r="Q12" s="161">
        <f t="shared" si="0"/>
        <v>9697.3166176402592</v>
      </c>
      <c r="R12" s="162">
        <f t="shared" si="1"/>
        <v>1.9394633235280522E-2</v>
      </c>
      <c r="S12" s="162">
        <f t="shared" si="2"/>
        <v>5.2530678190114465E-3</v>
      </c>
      <c r="T12" s="163">
        <f t="shared" si="3"/>
        <v>0.45991541938061464</v>
      </c>
    </row>
    <row r="13" spans="2:21" x14ac:dyDescent="0.25">
      <c r="B13" s="153" t="s">
        <v>10</v>
      </c>
      <c r="C13" s="154">
        <v>22445</v>
      </c>
      <c r="D13" s="155">
        <v>7500</v>
      </c>
      <c r="E13" s="156">
        <v>1520</v>
      </c>
      <c r="F13" s="157">
        <v>7</v>
      </c>
      <c r="G13" s="157">
        <v>437</v>
      </c>
      <c r="H13" s="158">
        <v>4369.7320201557486</v>
      </c>
      <c r="I13" s="159">
        <v>1487.9557052965365</v>
      </c>
      <c r="J13" s="157">
        <v>3</v>
      </c>
      <c r="K13" s="160">
        <f t="shared" si="9"/>
        <v>207.97719785199217</v>
      </c>
      <c r="L13" s="160">
        <f t="shared" si="4"/>
        <v>1061.0236220472441</v>
      </c>
      <c r="M13" s="160">
        <f t="shared" si="5"/>
        <v>171.01892699587304</v>
      </c>
      <c r="N13" s="160">
        <f t="shared" si="6"/>
        <v>344.54358011437273</v>
      </c>
      <c r="O13" s="160">
        <f t="shared" si="7"/>
        <v>226.20115600707712</v>
      </c>
      <c r="P13" s="160">
        <f t="shared" si="8"/>
        <v>1343.0232558139535</v>
      </c>
      <c r="Q13" s="161">
        <f t="shared" si="0"/>
        <v>10853.787738830513</v>
      </c>
      <c r="R13" s="162">
        <f t="shared" si="1"/>
        <v>2.1707575477661029E-2</v>
      </c>
      <c r="S13" s="162">
        <f t="shared" si="2"/>
        <v>5.5918950532469489E-3</v>
      </c>
      <c r="T13" s="163">
        <f t="shared" si="3"/>
        <v>0.48357263260550293</v>
      </c>
    </row>
    <row r="14" spans="2:21" x14ac:dyDescent="0.25">
      <c r="B14" s="153" t="s">
        <v>11</v>
      </c>
      <c r="C14" s="154">
        <v>22470</v>
      </c>
      <c r="D14" s="155">
        <v>7500</v>
      </c>
      <c r="E14" s="156">
        <v>938</v>
      </c>
      <c r="F14" s="157">
        <v>2</v>
      </c>
      <c r="G14" s="157">
        <v>119</v>
      </c>
      <c r="H14" s="158">
        <v>1352.7662145830536</v>
      </c>
      <c r="I14" s="159">
        <v>240.85846110826301</v>
      </c>
      <c r="J14" s="157">
        <v>3</v>
      </c>
      <c r="K14" s="160">
        <f t="shared" si="9"/>
        <v>128.34382341129518</v>
      </c>
      <c r="L14" s="160">
        <f t="shared" si="4"/>
        <v>303.14960629921262</v>
      </c>
      <c r="M14" s="160">
        <f t="shared" si="5"/>
        <v>46.570371424505481</v>
      </c>
      <c r="N14" s="160">
        <f t="shared" si="6"/>
        <v>106.6625853668712</v>
      </c>
      <c r="O14" s="160">
        <f t="shared" si="7"/>
        <v>36.615647994653735</v>
      </c>
      <c r="P14" s="160">
        <f t="shared" si="8"/>
        <v>1343.0232558139535</v>
      </c>
      <c r="Q14" s="161">
        <f t="shared" si="0"/>
        <v>9464.3652903104921</v>
      </c>
      <c r="R14" s="162">
        <f t="shared" si="1"/>
        <v>1.8928730580620987E-2</v>
      </c>
      <c r="S14" s="162">
        <f t="shared" si="2"/>
        <v>5.5981234950527488E-3</v>
      </c>
      <c r="T14" s="163">
        <f t="shared" si="3"/>
        <v>0.42120005742369793</v>
      </c>
    </row>
    <row r="15" spans="2:21" x14ac:dyDescent="0.25">
      <c r="B15" s="153" t="s">
        <v>12</v>
      </c>
      <c r="C15" s="154">
        <v>24245</v>
      </c>
      <c r="D15" s="155">
        <v>7500</v>
      </c>
      <c r="E15" s="156">
        <v>1725</v>
      </c>
      <c r="F15" s="157">
        <v>4</v>
      </c>
      <c r="G15" s="157">
        <v>225</v>
      </c>
      <c r="H15" s="158">
        <v>7337.8103448275861</v>
      </c>
      <c r="I15" s="159">
        <v>4237.5911477146847</v>
      </c>
      <c r="J15" s="157">
        <v>3</v>
      </c>
      <c r="K15" s="160">
        <f t="shared" si="9"/>
        <v>236.02675414124113</v>
      </c>
      <c r="L15" s="160">
        <f t="shared" si="4"/>
        <v>606.29921259842524</v>
      </c>
      <c r="M15" s="160">
        <f t="shared" si="5"/>
        <v>88.053223281628007</v>
      </c>
      <c r="N15" s="160">
        <f t="shared" si="6"/>
        <v>578.56990651730291</v>
      </c>
      <c r="O15" s="160">
        <f t="shared" si="7"/>
        <v>644.20467147399938</v>
      </c>
      <c r="P15" s="160">
        <f t="shared" si="8"/>
        <v>1343.0232558139535</v>
      </c>
      <c r="Q15" s="161">
        <f t="shared" si="0"/>
        <v>10996.177023826549</v>
      </c>
      <c r="R15" s="162">
        <f t="shared" si="1"/>
        <v>2.1992354047653099E-2</v>
      </c>
      <c r="S15" s="162">
        <f t="shared" si="2"/>
        <v>6.0403428632645256E-3</v>
      </c>
      <c r="T15" s="163">
        <f t="shared" si="3"/>
        <v>0.45354411317082077</v>
      </c>
    </row>
    <row r="16" spans="2:21" x14ac:dyDescent="0.25">
      <c r="B16" s="153" t="s">
        <v>13</v>
      </c>
      <c r="C16" s="154">
        <v>25690</v>
      </c>
      <c r="D16" s="155">
        <v>7500</v>
      </c>
      <c r="E16" s="156">
        <v>1182</v>
      </c>
      <c r="F16" s="157">
        <v>2</v>
      </c>
      <c r="G16" s="157">
        <v>143</v>
      </c>
      <c r="H16" s="158">
        <v>2477.3296755348542</v>
      </c>
      <c r="I16" s="159">
        <v>877.39217569203788</v>
      </c>
      <c r="J16" s="157">
        <v>3</v>
      </c>
      <c r="K16" s="160">
        <f t="shared" si="9"/>
        <v>161.72963675069391</v>
      </c>
      <c r="L16" s="160">
        <f t="shared" si="4"/>
        <v>303.14960629921262</v>
      </c>
      <c r="M16" s="160">
        <f t="shared" si="5"/>
        <v>55.962715241212464</v>
      </c>
      <c r="N16" s="160">
        <f t="shared" si="6"/>
        <v>195.33189486112545</v>
      </c>
      <c r="O16" s="160">
        <f t="shared" si="7"/>
        <v>133.38241434650149</v>
      </c>
      <c r="P16" s="160">
        <f t="shared" si="8"/>
        <v>1343.0232558139535</v>
      </c>
      <c r="Q16" s="161">
        <f t="shared" si="0"/>
        <v>9692.5795233126992</v>
      </c>
      <c r="R16" s="162">
        <f t="shared" si="1"/>
        <v>1.93851590466254E-2</v>
      </c>
      <c r="S16" s="162">
        <f t="shared" si="2"/>
        <v>6.4003467996397471E-3</v>
      </c>
      <c r="T16" s="163">
        <f t="shared" si="3"/>
        <v>0.37728997755207083</v>
      </c>
    </row>
    <row r="17" spans="2:21" x14ac:dyDescent="0.25">
      <c r="B17" s="153" t="s">
        <v>14</v>
      </c>
      <c r="C17" s="154">
        <v>26625</v>
      </c>
      <c r="D17" s="155">
        <v>7500</v>
      </c>
      <c r="E17" s="156">
        <v>1876</v>
      </c>
      <c r="F17" s="157">
        <v>5</v>
      </c>
      <c r="G17" s="157">
        <v>320</v>
      </c>
      <c r="H17" s="158">
        <v>1125.5828411563568</v>
      </c>
      <c r="I17" s="159">
        <v>610.31518624641831</v>
      </c>
      <c r="J17" s="157">
        <v>2</v>
      </c>
      <c r="K17" s="160">
        <f t="shared" si="9"/>
        <v>256.68764682259035</v>
      </c>
      <c r="L17" s="160">
        <f t="shared" si="4"/>
        <v>757.87401574803152</v>
      </c>
      <c r="M17" s="160">
        <f t="shared" si="5"/>
        <v>125.23125088942649</v>
      </c>
      <c r="N17" s="160">
        <f t="shared" si="6"/>
        <v>88.749685339627717</v>
      </c>
      <c r="O17" s="160">
        <f t="shared" si="7"/>
        <v>92.780988147830271</v>
      </c>
      <c r="P17" s="160">
        <f t="shared" si="8"/>
        <v>895.34883720930236</v>
      </c>
      <c r="Q17" s="161">
        <f t="shared" si="0"/>
        <v>9716.6724241568081</v>
      </c>
      <c r="R17" s="162">
        <f t="shared" si="1"/>
        <v>1.9433344848313619E-2</v>
      </c>
      <c r="S17" s="162">
        <f t="shared" si="2"/>
        <v>6.6332905231766548E-3</v>
      </c>
      <c r="T17" s="163">
        <f t="shared" si="3"/>
        <v>0.36494544316081906</v>
      </c>
    </row>
    <row r="18" spans="2:21" x14ac:dyDescent="0.25">
      <c r="B18" s="153" t="s">
        <v>15</v>
      </c>
      <c r="C18" s="154">
        <v>30135</v>
      </c>
      <c r="D18" s="155">
        <v>17500</v>
      </c>
      <c r="E18" s="156">
        <v>1908</v>
      </c>
      <c r="F18" s="157">
        <v>4</v>
      </c>
      <c r="G18" s="159">
        <v>332</v>
      </c>
      <c r="H18" s="158">
        <v>4463.8691887434279</v>
      </c>
      <c r="I18" s="159">
        <v>2306.8739393492215</v>
      </c>
      <c r="J18" s="157">
        <v>8</v>
      </c>
      <c r="K18" s="160">
        <f t="shared" si="9"/>
        <v>261.06611414579015</v>
      </c>
      <c r="L18" s="160">
        <f t="shared" si="4"/>
        <v>606.29921259842524</v>
      </c>
      <c r="M18" s="160">
        <f t="shared" si="5"/>
        <v>129.92742279778</v>
      </c>
      <c r="N18" s="160">
        <f t="shared" si="6"/>
        <v>351.96608495847374</v>
      </c>
      <c r="O18" s="160">
        <f t="shared" si="7"/>
        <v>350.69427805271943</v>
      </c>
      <c r="P18" s="160">
        <f t="shared" si="8"/>
        <v>3581.3953488372094</v>
      </c>
      <c r="Q18" s="161">
        <f t="shared" si="0"/>
        <v>22781.3484613904</v>
      </c>
      <c r="R18" s="162">
        <f t="shared" si="1"/>
        <v>4.5562696922780803E-2</v>
      </c>
      <c r="S18" s="162">
        <f t="shared" si="2"/>
        <v>7.5077637527109289E-3</v>
      </c>
      <c r="T18" s="163">
        <f t="shared" si="3"/>
        <v>0.75597638829900116</v>
      </c>
    </row>
    <row r="19" spans="2:21" x14ac:dyDescent="0.25">
      <c r="B19" s="153" t="s">
        <v>16</v>
      </c>
      <c r="C19" s="154">
        <v>31480</v>
      </c>
      <c r="D19" s="155">
        <v>7500</v>
      </c>
      <c r="E19" s="156">
        <v>2131</v>
      </c>
      <c r="F19" s="157">
        <v>4</v>
      </c>
      <c r="G19" s="157">
        <v>368</v>
      </c>
      <c r="H19" s="158">
        <v>10210.006506180873</v>
      </c>
      <c r="I19" s="159">
        <v>3291.7906565393819</v>
      </c>
      <c r="J19" s="157">
        <v>3</v>
      </c>
      <c r="K19" s="160">
        <f t="shared" si="9"/>
        <v>291.57855830433903</v>
      </c>
      <c r="L19" s="160">
        <f t="shared" si="4"/>
        <v>606.29921259842524</v>
      </c>
      <c r="M19" s="160">
        <f t="shared" si="5"/>
        <v>144.01593852284046</v>
      </c>
      <c r="N19" s="160">
        <f t="shared" si="6"/>
        <v>805.03613915098003</v>
      </c>
      <c r="O19" s="160">
        <f t="shared" si="7"/>
        <v>500.42272709597222</v>
      </c>
      <c r="P19" s="160">
        <f t="shared" si="8"/>
        <v>1343.0232558139535</v>
      </c>
      <c r="Q19" s="161">
        <f t="shared" si="0"/>
        <v>11190.375831486512</v>
      </c>
      <c r="R19" s="162">
        <f t="shared" si="1"/>
        <v>2.2380751662973025E-2</v>
      </c>
      <c r="S19" s="162">
        <f t="shared" si="2"/>
        <v>7.8428539218629526E-3</v>
      </c>
      <c r="T19" s="163">
        <f t="shared" si="3"/>
        <v>0.35547572526958421</v>
      </c>
    </row>
    <row r="20" spans="2:21" x14ac:dyDescent="0.25">
      <c r="B20" s="153" t="s">
        <v>17</v>
      </c>
      <c r="C20" s="154">
        <v>37750</v>
      </c>
      <c r="D20" s="155">
        <v>7500</v>
      </c>
      <c r="E20" s="156">
        <v>2271</v>
      </c>
      <c r="F20" s="157">
        <v>4</v>
      </c>
      <c r="G20" s="157">
        <v>356</v>
      </c>
      <c r="H20" s="158">
        <v>2986.6661295520462</v>
      </c>
      <c r="I20" s="159">
        <v>1150.8818417528564</v>
      </c>
      <c r="J20" s="157">
        <v>2</v>
      </c>
      <c r="K20" s="160">
        <f t="shared" si="9"/>
        <v>310.73435284333829</v>
      </c>
      <c r="L20" s="160">
        <f t="shared" si="4"/>
        <v>606.29921259842524</v>
      </c>
      <c r="M20" s="160">
        <f t="shared" si="5"/>
        <v>139.31976661448698</v>
      </c>
      <c r="N20" s="160">
        <f t="shared" si="6"/>
        <v>235.49193317477656</v>
      </c>
      <c r="O20" s="160">
        <f t="shared" si="7"/>
        <v>174.95870482257968</v>
      </c>
      <c r="P20" s="160">
        <f t="shared" si="8"/>
        <v>895.34883720930236</v>
      </c>
      <c r="Q20" s="161">
        <f t="shared" si="0"/>
        <v>9862.152807262908</v>
      </c>
      <c r="R20" s="162">
        <f t="shared" si="1"/>
        <v>1.9724305614525817E-2</v>
      </c>
      <c r="S20" s="162">
        <f t="shared" si="2"/>
        <v>9.404947126757511E-3</v>
      </c>
      <c r="T20" s="163">
        <f t="shared" si="3"/>
        <v>0.26124908098709693</v>
      </c>
    </row>
    <row r="21" spans="2:21" x14ac:dyDescent="0.25">
      <c r="B21" s="153" t="s">
        <v>18</v>
      </c>
      <c r="C21" s="154">
        <v>47225</v>
      </c>
      <c r="D21" s="155">
        <v>7500</v>
      </c>
      <c r="E21" s="156">
        <v>2142</v>
      </c>
      <c r="F21" s="157">
        <v>3</v>
      </c>
      <c r="G21" s="157">
        <v>403</v>
      </c>
      <c r="H21" s="158">
        <v>3897.7155490051582</v>
      </c>
      <c r="I21" s="159">
        <v>1473.7905530533392</v>
      </c>
      <c r="J21" s="157">
        <v>3</v>
      </c>
      <c r="K21" s="160">
        <f t="shared" si="9"/>
        <v>293.08365644668896</v>
      </c>
      <c r="L21" s="160">
        <f t="shared" si="4"/>
        <v>454.7244094488189</v>
      </c>
      <c r="M21" s="160">
        <f t="shared" si="5"/>
        <v>157.71310658887148</v>
      </c>
      <c r="N21" s="160">
        <f t="shared" si="6"/>
        <v>307.32613884039267</v>
      </c>
      <c r="O21" s="160">
        <f t="shared" si="7"/>
        <v>224.04774928870378</v>
      </c>
      <c r="P21" s="160">
        <f t="shared" si="8"/>
        <v>1343.0232558139535</v>
      </c>
      <c r="Q21" s="161">
        <f t="shared" si="0"/>
        <v>10279.918316427429</v>
      </c>
      <c r="R21" s="162">
        <f t="shared" si="1"/>
        <v>2.055983663285486E-2</v>
      </c>
      <c r="S21" s="162">
        <f t="shared" si="2"/>
        <v>1.1765526571155588E-2</v>
      </c>
      <c r="T21" s="163">
        <f t="shared" si="3"/>
        <v>0.21767958319592226</v>
      </c>
    </row>
    <row r="22" spans="2:21" x14ac:dyDescent="0.25">
      <c r="B22" s="153" t="s">
        <v>19</v>
      </c>
      <c r="C22" s="154">
        <v>50390</v>
      </c>
      <c r="D22" s="155">
        <v>7500</v>
      </c>
      <c r="E22" s="156">
        <v>3074</v>
      </c>
      <c r="F22" s="157">
        <v>3</v>
      </c>
      <c r="G22" s="157">
        <v>432</v>
      </c>
      <c r="H22" s="158">
        <v>2216.8535225544856</v>
      </c>
      <c r="I22" s="159">
        <v>571.75226715949623</v>
      </c>
      <c r="J22" s="157">
        <v>3</v>
      </c>
      <c r="K22" s="160">
        <f t="shared" si="9"/>
        <v>420.60651723488417</v>
      </c>
      <c r="L22" s="160">
        <f t="shared" si="4"/>
        <v>454.7244094488189</v>
      </c>
      <c r="M22" s="160">
        <f t="shared" si="5"/>
        <v>169.06218870072578</v>
      </c>
      <c r="N22" s="160">
        <f t="shared" si="6"/>
        <v>174.79393375314052</v>
      </c>
      <c r="O22" s="160">
        <f t="shared" si="7"/>
        <v>86.918597993729065</v>
      </c>
      <c r="P22" s="160">
        <f t="shared" si="8"/>
        <v>1343.0232558139535</v>
      </c>
      <c r="Q22" s="161">
        <f t="shared" si="0"/>
        <v>10149.128902945253</v>
      </c>
      <c r="R22" s="162">
        <f t="shared" si="1"/>
        <v>2.0298257805890507E-2</v>
      </c>
      <c r="S22" s="162">
        <f t="shared" si="2"/>
        <v>1.2554047303769827E-2</v>
      </c>
      <c r="T22" s="163">
        <f t="shared" si="3"/>
        <v>0.20141156782983236</v>
      </c>
    </row>
    <row r="23" spans="2:21" x14ac:dyDescent="0.25">
      <c r="B23" s="153" t="s">
        <v>20</v>
      </c>
      <c r="C23" s="154">
        <v>62990</v>
      </c>
      <c r="D23" s="155">
        <v>7500</v>
      </c>
      <c r="E23" s="156">
        <v>3407</v>
      </c>
      <c r="F23" s="157">
        <v>3</v>
      </c>
      <c r="G23" s="157">
        <v>493</v>
      </c>
      <c r="H23" s="158">
        <v>3603.8504738504739</v>
      </c>
      <c r="I23" s="159">
        <v>841.03301152810081</v>
      </c>
      <c r="J23" s="157">
        <v>2</v>
      </c>
      <c r="K23" s="160">
        <f t="shared" si="9"/>
        <v>466.16994281693241</v>
      </c>
      <c r="L23" s="160">
        <f t="shared" si="4"/>
        <v>454.7244094488189</v>
      </c>
      <c r="M23" s="160">
        <f t="shared" si="5"/>
        <v>192.93439590152269</v>
      </c>
      <c r="N23" s="160">
        <f t="shared" si="6"/>
        <v>284.1555360214204</v>
      </c>
      <c r="O23" s="160">
        <f t="shared" si="7"/>
        <v>127.85504216999263</v>
      </c>
      <c r="P23" s="160">
        <f t="shared" si="8"/>
        <v>895.34883720930236</v>
      </c>
      <c r="Q23" s="161">
        <f t="shared" si="0"/>
        <v>9921.1881635679892</v>
      </c>
      <c r="R23" s="162">
        <f t="shared" si="1"/>
        <v>1.984237632713598E-2</v>
      </c>
      <c r="S23" s="162">
        <f t="shared" si="2"/>
        <v>1.5693181973892863E-2</v>
      </c>
      <c r="T23" s="163">
        <f t="shared" si="3"/>
        <v>0.1575041778626447</v>
      </c>
    </row>
    <row r="24" spans="2:21" x14ac:dyDescent="0.25">
      <c r="B24" s="153" t="s">
        <v>21</v>
      </c>
      <c r="C24" s="154">
        <v>67110</v>
      </c>
      <c r="D24" s="155">
        <v>7500</v>
      </c>
      <c r="E24" s="156">
        <v>4533</v>
      </c>
      <c r="F24" s="157">
        <v>5</v>
      </c>
      <c r="G24" s="157">
        <v>847</v>
      </c>
      <c r="H24" s="158">
        <v>7521.0797908615596</v>
      </c>
      <c r="I24" s="159">
        <v>2372.6083197233161</v>
      </c>
      <c r="J24" s="157">
        <v>3</v>
      </c>
      <c r="K24" s="160">
        <f t="shared" si="9"/>
        <v>620.23726175202671</v>
      </c>
      <c r="L24" s="160">
        <f t="shared" si="4"/>
        <v>757.87401574803152</v>
      </c>
      <c r="M24" s="160">
        <f t="shared" si="5"/>
        <v>331.47146719795074</v>
      </c>
      <c r="N24" s="160">
        <f t="shared" si="6"/>
        <v>593.02029175165239</v>
      </c>
      <c r="O24" s="160">
        <f t="shared" si="7"/>
        <v>360.68731264178723</v>
      </c>
      <c r="P24" s="160">
        <f t="shared" si="8"/>
        <v>1343.0232558139535</v>
      </c>
      <c r="Q24" s="161">
        <f t="shared" si="0"/>
        <v>11506.313604905401</v>
      </c>
      <c r="R24" s="162">
        <f t="shared" si="1"/>
        <v>2.3012627209810805E-2</v>
      </c>
      <c r="S24" s="162">
        <f t="shared" si="2"/>
        <v>1.6719629183488651E-2</v>
      </c>
      <c r="T24" s="163">
        <f t="shared" si="3"/>
        <v>0.17145453143950828</v>
      </c>
      <c r="U24" s="161">
        <f>SUM(Q12:Q24)/SUM(C12:C24)</f>
        <v>0.31111345861950257</v>
      </c>
    </row>
    <row r="25" spans="2:21" x14ac:dyDescent="0.25">
      <c r="B25" s="164" t="s">
        <v>22</v>
      </c>
      <c r="C25" s="165">
        <v>78570</v>
      </c>
      <c r="D25" s="166">
        <v>10000</v>
      </c>
      <c r="E25" s="167">
        <v>5742</v>
      </c>
      <c r="F25" s="168">
        <v>4</v>
      </c>
      <c r="G25" s="168">
        <v>848</v>
      </c>
      <c r="H25" s="169">
        <v>9901.3983050847473</v>
      </c>
      <c r="I25" s="170">
        <v>3571.0607987789367</v>
      </c>
      <c r="J25" s="168">
        <v>2</v>
      </c>
      <c r="K25" s="171">
        <f t="shared" si="9"/>
        <v>785.66123030667052</v>
      </c>
      <c r="L25" s="171">
        <f t="shared" si="4"/>
        <v>606.29921259842524</v>
      </c>
      <c r="M25" s="171">
        <f t="shared" si="5"/>
        <v>331.86281485698026</v>
      </c>
      <c r="N25" s="171">
        <f t="shared" si="6"/>
        <v>780.70307388110439</v>
      </c>
      <c r="O25" s="171">
        <f t="shared" si="7"/>
        <v>542.87777383424771</v>
      </c>
      <c r="P25" s="171">
        <f t="shared" si="8"/>
        <v>895.34883720930236</v>
      </c>
      <c r="Q25" s="172">
        <f t="shared" si="0"/>
        <v>13942.752942686731</v>
      </c>
      <c r="R25" s="173">
        <f t="shared" si="1"/>
        <v>2.7885505885373467E-2</v>
      </c>
      <c r="S25" s="173">
        <f t="shared" si="2"/>
        <v>1.957474690726722E-2</v>
      </c>
      <c r="T25" s="174">
        <f t="shared" si="3"/>
        <v>0.17745644575139025</v>
      </c>
    </row>
    <row r="26" spans="2:21" x14ac:dyDescent="0.25">
      <c r="B26" s="164" t="s">
        <v>23</v>
      </c>
      <c r="C26" s="165">
        <v>79155</v>
      </c>
      <c r="D26" s="166">
        <v>10000</v>
      </c>
      <c r="E26" s="167">
        <v>5485</v>
      </c>
      <c r="F26" s="168">
        <v>4</v>
      </c>
      <c r="G26" s="168">
        <v>907</v>
      </c>
      <c r="H26" s="169">
        <v>19682.118729206079</v>
      </c>
      <c r="I26" s="170">
        <v>6436.9039692701663</v>
      </c>
      <c r="J26" s="168">
        <v>2</v>
      </c>
      <c r="K26" s="171">
        <f t="shared" si="9"/>
        <v>750.49666461722177</v>
      </c>
      <c r="L26" s="171">
        <f t="shared" si="4"/>
        <v>606.29921259842524</v>
      </c>
      <c r="M26" s="171">
        <f t="shared" si="5"/>
        <v>354.95232673971822</v>
      </c>
      <c r="N26" s="171">
        <f t="shared" si="6"/>
        <v>1551.8909672074367</v>
      </c>
      <c r="O26" s="171">
        <f t="shared" si="7"/>
        <v>978.54735444915661</v>
      </c>
      <c r="P26" s="171">
        <f t="shared" si="8"/>
        <v>895.34883720930236</v>
      </c>
      <c r="Q26" s="172">
        <f t="shared" si="0"/>
        <v>15137.535362821262</v>
      </c>
      <c r="R26" s="173">
        <f t="shared" si="1"/>
        <v>3.0275070725642526E-2</v>
      </c>
      <c r="S26" s="173">
        <f t="shared" si="2"/>
        <v>1.9720492445522934E-2</v>
      </c>
      <c r="T26" s="174">
        <f t="shared" si="3"/>
        <v>0.19123915561646468</v>
      </c>
    </row>
    <row r="27" spans="2:21" x14ac:dyDescent="0.25">
      <c r="B27" s="164" t="s">
        <v>24</v>
      </c>
      <c r="C27" s="165">
        <v>83720</v>
      </c>
      <c r="D27" s="166">
        <v>10000</v>
      </c>
      <c r="E27" s="167">
        <v>7407</v>
      </c>
      <c r="F27" s="168">
        <v>4</v>
      </c>
      <c r="G27" s="168">
        <v>791</v>
      </c>
      <c r="H27" s="169">
        <v>5595.720119006035</v>
      </c>
      <c r="I27" s="170">
        <v>988.50789279065623</v>
      </c>
      <c r="J27" s="168">
        <v>3</v>
      </c>
      <c r="K27" s="171">
        <f t="shared" si="9"/>
        <v>1013.4783582169118</v>
      </c>
      <c r="L27" s="171">
        <f t="shared" si="4"/>
        <v>606.29921259842524</v>
      </c>
      <c r="M27" s="171">
        <f t="shared" si="5"/>
        <v>309.55599829230113</v>
      </c>
      <c r="N27" s="171">
        <f t="shared" si="6"/>
        <v>441.20999508149362</v>
      </c>
      <c r="O27" s="171">
        <f t="shared" si="7"/>
        <v>150.27438469803403</v>
      </c>
      <c r="P27" s="171">
        <f t="shared" si="8"/>
        <v>1343.0232558139535</v>
      </c>
      <c r="Q27" s="172">
        <f t="shared" si="0"/>
        <v>13863.841204701119</v>
      </c>
      <c r="R27" s="173">
        <f t="shared" si="1"/>
        <v>2.7727682409402241E-2</v>
      </c>
      <c r="S27" s="173">
        <f t="shared" si="2"/>
        <v>2.0857805919261955E-2</v>
      </c>
      <c r="T27" s="174">
        <f t="shared" si="3"/>
        <v>0.16559772103083037</v>
      </c>
    </row>
    <row r="28" spans="2:21" x14ac:dyDescent="0.25">
      <c r="B28" s="164" t="s">
        <v>25</v>
      </c>
      <c r="C28" s="165">
        <v>90005</v>
      </c>
      <c r="D28" s="166">
        <v>10000</v>
      </c>
      <c r="E28" s="167">
        <v>9717</v>
      </c>
      <c r="F28" s="168">
        <v>5</v>
      </c>
      <c r="G28" s="168">
        <v>1181</v>
      </c>
      <c r="H28" s="169">
        <v>6055.1519166841017</v>
      </c>
      <c r="I28" s="170">
        <v>3016.6196200362333</v>
      </c>
      <c r="J28" s="168">
        <v>1</v>
      </c>
      <c r="K28" s="171">
        <f t="shared" si="9"/>
        <v>1329.5489681104</v>
      </c>
      <c r="L28" s="171">
        <f t="shared" si="4"/>
        <v>757.87401574803152</v>
      </c>
      <c r="M28" s="171">
        <f t="shared" si="5"/>
        <v>462.18158531378964</v>
      </c>
      <c r="N28" s="171">
        <f t="shared" si="6"/>
        <v>477.43516304608232</v>
      </c>
      <c r="O28" s="171">
        <f t="shared" si="7"/>
        <v>458.59083227873157</v>
      </c>
      <c r="P28" s="171">
        <f t="shared" si="8"/>
        <v>447.67441860465118</v>
      </c>
      <c r="Q28" s="172">
        <f t="shared" si="0"/>
        <v>13933.304983101687</v>
      </c>
      <c r="R28" s="173">
        <f t="shared" si="1"/>
        <v>2.7866609966203378E-2</v>
      </c>
      <c r="S28" s="173">
        <f t="shared" si="2"/>
        <v>2.2423636189239992E-2</v>
      </c>
      <c r="T28" s="174">
        <f t="shared" si="3"/>
        <v>0.15480589948449183</v>
      </c>
    </row>
    <row r="29" spans="2:21" x14ac:dyDescent="0.25">
      <c r="B29" s="164" t="s">
        <v>26</v>
      </c>
      <c r="C29" s="165">
        <v>103630</v>
      </c>
      <c r="D29" s="166">
        <v>10000</v>
      </c>
      <c r="E29" s="175">
        <v>6902</v>
      </c>
      <c r="F29" s="168">
        <v>4</v>
      </c>
      <c r="G29" s="168">
        <v>980</v>
      </c>
      <c r="H29" s="169">
        <v>15763.236172203095</v>
      </c>
      <c r="I29" s="170">
        <v>6859.7007454394434</v>
      </c>
      <c r="J29" s="168">
        <v>1</v>
      </c>
      <c r="K29" s="171">
        <f t="shared" si="9"/>
        <v>944.38067077266453</v>
      </c>
      <c r="L29" s="171">
        <f t="shared" si="4"/>
        <v>606.29921259842524</v>
      </c>
      <c r="M29" s="171">
        <f t="shared" si="5"/>
        <v>383.52070584886866</v>
      </c>
      <c r="N29" s="171">
        <f t="shared" si="6"/>
        <v>1242.895857207659</v>
      </c>
      <c r="O29" s="171">
        <f t="shared" si="7"/>
        <v>1042.8215255048713</v>
      </c>
      <c r="P29" s="171">
        <f t="shared" si="8"/>
        <v>447.67441860465118</v>
      </c>
      <c r="Q29" s="172">
        <f t="shared" si="0"/>
        <v>14667.59239053714</v>
      </c>
      <c r="R29" s="173">
        <f t="shared" si="1"/>
        <v>2.9335184781074282E-2</v>
      </c>
      <c r="S29" s="173">
        <f t="shared" si="2"/>
        <v>2.5818136973400817E-2</v>
      </c>
      <c r="T29" s="174">
        <f t="shared" si="3"/>
        <v>0.14153809119499314</v>
      </c>
    </row>
    <row r="30" spans="2:21" x14ac:dyDescent="0.25">
      <c r="B30" s="164" t="s">
        <v>27</v>
      </c>
      <c r="C30" s="165">
        <v>109910</v>
      </c>
      <c r="D30" s="166">
        <v>10000</v>
      </c>
      <c r="E30" s="167">
        <v>6095</v>
      </c>
      <c r="F30" s="168">
        <v>3</v>
      </c>
      <c r="G30" s="168">
        <v>930</v>
      </c>
      <c r="H30" s="169">
        <v>5460.8313113591403</v>
      </c>
      <c r="I30" s="170">
        <v>1118.4490608992601</v>
      </c>
      <c r="J30" s="168">
        <v>3</v>
      </c>
      <c r="K30" s="171">
        <f t="shared" si="9"/>
        <v>833.9611979657185</v>
      </c>
      <c r="L30" s="171">
        <f t="shared" si="4"/>
        <v>454.7244094488189</v>
      </c>
      <c r="M30" s="171">
        <f t="shared" si="5"/>
        <v>363.95332289739576</v>
      </c>
      <c r="N30" s="171">
        <f t="shared" si="6"/>
        <v>430.57431479500241</v>
      </c>
      <c r="O30" s="171">
        <f t="shared" si="7"/>
        <v>170.02822705668032</v>
      </c>
      <c r="P30" s="171">
        <f t="shared" si="8"/>
        <v>1343.0232558139535</v>
      </c>
      <c r="Q30" s="172">
        <f t="shared" si="0"/>
        <v>13596.26472797757</v>
      </c>
      <c r="R30" s="173">
        <f t="shared" si="1"/>
        <v>2.7192529455955145E-2</v>
      </c>
      <c r="S30" s="173">
        <f t="shared" si="2"/>
        <v>2.7382721555017694E-2</v>
      </c>
      <c r="T30" s="174">
        <f t="shared" si="3"/>
        <v>0.12370361866961668</v>
      </c>
    </row>
    <row r="31" spans="2:21" x14ac:dyDescent="0.25">
      <c r="B31" s="164" t="s">
        <v>28</v>
      </c>
      <c r="C31" s="165">
        <v>120860</v>
      </c>
      <c r="D31" s="166">
        <v>10000</v>
      </c>
      <c r="E31" s="167">
        <v>7600</v>
      </c>
      <c r="F31" s="168">
        <v>4</v>
      </c>
      <c r="G31" s="168">
        <v>1309</v>
      </c>
      <c r="H31" s="169">
        <v>9800.0118373213827</v>
      </c>
      <c r="I31" s="170">
        <v>3055.3220388624986</v>
      </c>
      <c r="J31" s="168">
        <v>2</v>
      </c>
      <c r="K31" s="171">
        <f t="shared" si="9"/>
        <v>1039.8859892599608</v>
      </c>
      <c r="L31" s="171">
        <f t="shared" si="4"/>
        <v>606.29921259842524</v>
      </c>
      <c r="M31" s="171">
        <f t="shared" si="5"/>
        <v>512.27408566956024</v>
      </c>
      <c r="N31" s="171">
        <f t="shared" si="6"/>
        <v>772.70897803787807</v>
      </c>
      <c r="O31" s="171">
        <f t="shared" si="7"/>
        <v>464.47442938287156</v>
      </c>
      <c r="P31" s="171">
        <f t="shared" si="8"/>
        <v>895.34883720930236</v>
      </c>
      <c r="Q31" s="172">
        <f t="shared" si="0"/>
        <v>14290.991532157997</v>
      </c>
      <c r="R31" s="173">
        <f t="shared" si="1"/>
        <v>2.8581983064315999E-2</v>
      </c>
      <c r="S31" s="173">
        <f t="shared" si="2"/>
        <v>3.0110779065957952E-2</v>
      </c>
      <c r="T31" s="174">
        <f t="shared" si="3"/>
        <v>0.11824417948169781</v>
      </c>
      <c r="U31" s="172">
        <f>SUM(Q25:Q31)/SUM(C25:C31)</f>
        <v>0.14933135562661787</v>
      </c>
    </row>
    <row r="32" spans="2:21" x14ac:dyDescent="0.25">
      <c r="B32" s="176" t="s">
        <v>29</v>
      </c>
      <c r="C32" s="177">
        <v>170740</v>
      </c>
      <c r="D32" s="178">
        <v>12500</v>
      </c>
      <c r="E32" s="179">
        <v>10758</v>
      </c>
      <c r="F32" s="180">
        <v>4</v>
      </c>
      <c r="G32" s="180">
        <v>1582</v>
      </c>
      <c r="H32" s="181">
        <v>12995.375656640574</v>
      </c>
      <c r="I32" s="182">
        <v>4559.2080917890562</v>
      </c>
      <c r="J32" s="180">
        <v>2</v>
      </c>
      <c r="K32" s="183">
        <f t="shared" si="9"/>
        <v>1471.9859832182444</v>
      </c>
      <c r="L32" s="183">
        <f t="shared" si="4"/>
        <v>606.29921259842524</v>
      </c>
      <c r="M32" s="183">
        <f t="shared" si="5"/>
        <v>619.11199658460225</v>
      </c>
      <c r="N32" s="183">
        <f t="shared" si="6"/>
        <v>1024.6562564975145</v>
      </c>
      <c r="O32" s="183">
        <f t="shared" si="7"/>
        <v>693.09733963752365</v>
      </c>
      <c r="P32" s="183">
        <f t="shared" si="8"/>
        <v>895.34883720930236</v>
      </c>
      <c r="Q32" s="184">
        <f t="shared" si="0"/>
        <v>17810.499625745615</v>
      </c>
      <c r="R32" s="185">
        <f t="shared" si="1"/>
        <v>3.5620999251491231E-2</v>
      </c>
      <c r="S32" s="185">
        <f t="shared" si="2"/>
        <v>4.2537766156889464E-2</v>
      </c>
      <c r="T32" s="186">
        <f t="shared" si="3"/>
        <v>0.10431357400577261</v>
      </c>
    </row>
    <row r="33" spans="2:21" x14ac:dyDescent="0.25">
      <c r="B33" s="176" t="s">
        <v>30</v>
      </c>
      <c r="C33" s="177">
        <v>210975</v>
      </c>
      <c r="D33" s="178">
        <v>12500</v>
      </c>
      <c r="E33" s="179">
        <v>14415</v>
      </c>
      <c r="F33" s="180">
        <v>4</v>
      </c>
      <c r="G33" s="180">
        <v>2092</v>
      </c>
      <c r="H33" s="181">
        <v>24107.868750090765</v>
      </c>
      <c r="I33" s="182">
        <v>7809.5268218623478</v>
      </c>
      <c r="J33" s="180">
        <v>2</v>
      </c>
      <c r="K33" s="183">
        <f t="shared" si="9"/>
        <v>1972.3627019976757</v>
      </c>
      <c r="L33" s="183">
        <f t="shared" si="4"/>
        <v>606.29921259842524</v>
      </c>
      <c r="M33" s="183">
        <f t="shared" si="5"/>
        <v>818.69930268962571</v>
      </c>
      <c r="N33" s="183">
        <f t="shared" si="6"/>
        <v>1900.8514411800534</v>
      </c>
      <c r="O33" s="183">
        <f t="shared" si="7"/>
        <v>1187.2154451139963</v>
      </c>
      <c r="P33" s="183">
        <f t="shared" si="8"/>
        <v>895.34883720930236</v>
      </c>
      <c r="Q33" s="184">
        <f t="shared" si="0"/>
        <v>19880.776940789077</v>
      </c>
      <c r="R33" s="185">
        <f t="shared" si="1"/>
        <v>3.9761553881578163E-2</v>
      </c>
      <c r="S33" s="185">
        <f t="shared" si="2"/>
        <v>5.2561820399143463E-2</v>
      </c>
      <c r="T33" s="186">
        <f t="shared" si="3"/>
        <v>9.4232856692921335E-2</v>
      </c>
    </row>
    <row r="34" spans="2:21" x14ac:dyDescent="0.25">
      <c r="B34" s="176" t="s">
        <v>31</v>
      </c>
      <c r="C34" s="177">
        <v>329770</v>
      </c>
      <c r="D34" s="178">
        <v>12500</v>
      </c>
      <c r="E34" s="179">
        <v>26549</v>
      </c>
      <c r="F34" s="180">
        <v>6</v>
      </c>
      <c r="G34" s="180">
        <v>5023</v>
      </c>
      <c r="H34" s="181">
        <v>82537.176328140602</v>
      </c>
      <c r="I34" s="182">
        <v>36958.569618475893</v>
      </c>
      <c r="J34" s="180">
        <v>1</v>
      </c>
      <c r="K34" s="183">
        <f t="shared" si="9"/>
        <v>3632.6227801135128</v>
      </c>
      <c r="L34" s="183">
        <f t="shared" si="4"/>
        <v>909.44881889763781</v>
      </c>
      <c r="M34" s="183">
        <f t="shared" si="5"/>
        <v>1965.7392913049664</v>
      </c>
      <c r="N34" s="183">
        <f t="shared" si="6"/>
        <v>6507.8714423350912</v>
      </c>
      <c r="O34" s="183">
        <f t="shared" si="7"/>
        <v>5618.4946516275468</v>
      </c>
      <c r="P34" s="183">
        <f t="shared" si="8"/>
        <v>447.67441860465118</v>
      </c>
      <c r="Q34" s="184">
        <f t="shared" si="0"/>
        <v>31581.851402883407</v>
      </c>
      <c r="R34" s="185">
        <f t="shared" si="1"/>
        <v>6.3163702805766817E-2</v>
      </c>
      <c r="S34" s="185">
        <f t="shared" si="2"/>
        <v>8.2158130171942359E-2</v>
      </c>
      <c r="T34" s="186">
        <f t="shared" si="3"/>
        <v>9.5769328328481687E-2</v>
      </c>
    </row>
    <row r="35" spans="2:21" x14ac:dyDescent="0.25">
      <c r="B35" s="176" t="s">
        <v>32</v>
      </c>
      <c r="C35" s="177">
        <v>362150</v>
      </c>
      <c r="D35" s="178">
        <v>12500</v>
      </c>
      <c r="E35" s="179">
        <v>31226</v>
      </c>
      <c r="F35" s="180">
        <v>5</v>
      </c>
      <c r="G35" s="180">
        <v>4825</v>
      </c>
      <c r="H35" s="181">
        <v>28459.426125536975</v>
      </c>
      <c r="I35" s="182">
        <v>11108.96229383892</v>
      </c>
      <c r="J35" s="180">
        <v>2</v>
      </c>
      <c r="K35" s="183">
        <f t="shared" si="9"/>
        <v>4272.5631448199392</v>
      </c>
      <c r="L35" s="183">
        <f t="shared" si="4"/>
        <v>757.87401574803152</v>
      </c>
      <c r="M35" s="183">
        <f t="shared" si="5"/>
        <v>1888.2524548171339</v>
      </c>
      <c r="N35" s="183">
        <f t="shared" si="6"/>
        <v>2243.9619912764188</v>
      </c>
      <c r="O35" s="183">
        <f t="shared" si="7"/>
        <v>1688.800347994636</v>
      </c>
      <c r="P35" s="183">
        <f t="shared" si="8"/>
        <v>895.34883720930236</v>
      </c>
      <c r="Q35" s="184">
        <f t="shared" si="0"/>
        <v>24246.800791865462</v>
      </c>
      <c r="R35" s="185">
        <f t="shared" si="1"/>
        <v>4.8493601583730929E-2</v>
      </c>
      <c r="S35" s="185">
        <f t="shared" si="2"/>
        <v>9.0225207998814103E-2</v>
      </c>
      <c r="T35" s="186">
        <f t="shared" si="3"/>
        <v>6.6952369989963997E-2</v>
      </c>
      <c r="U35" s="184">
        <f>SUM(Q32:Q35)/SUM(C32:C35)</f>
        <v>8.710588678767324E-2</v>
      </c>
    </row>
    <row r="36" spans="2:21" x14ac:dyDescent="0.25">
      <c r="B36" s="187" t="s">
        <v>33</v>
      </c>
      <c r="C36" s="188">
        <v>397385</v>
      </c>
      <c r="D36" s="189">
        <v>15000</v>
      </c>
      <c r="E36" s="190">
        <v>20340</v>
      </c>
      <c r="F36" s="191">
        <v>3</v>
      </c>
      <c r="G36" s="191">
        <v>3464</v>
      </c>
      <c r="H36" s="192">
        <v>31954.259040231664</v>
      </c>
      <c r="I36" s="193">
        <v>18040.631175813003</v>
      </c>
      <c r="J36" s="191">
        <v>2</v>
      </c>
      <c r="K36" s="194">
        <f t="shared" si="9"/>
        <v>2783.0632923088951</v>
      </c>
      <c r="L36" s="194">
        <f t="shared" si="4"/>
        <v>454.7244094488189</v>
      </c>
      <c r="M36" s="194">
        <f t="shared" si="5"/>
        <v>1355.6282908780418</v>
      </c>
      <c r="N36" s="194">
        <f t="shared" si="6"/>
        <v>2519.5217369945412</v>
      </c>
      <c r="O36" s="194">
        <f t="shared" si="7"/>
        <v>2742.5625726223793</v>
      </c>
      <c r="P36" s="194">
        <f t="shared" si="8"/>
        <v>895.34883720930236</v>
      </c>
      <c r="Q36" s="195">
        <f t="shared" si="0"/>
        <v>25750.849139461978</v>
      </c>
      <c r="R36" s="196">
        <f t="shared" si="1"/>
        <v>5.1501698278923959E-2</v>
      </c>
      <c r="S36" s="196">
        <f t="shared" si="2"/>
        <v>9.9003573879908172E-2</v>
      </c>
      <c r="T36" s="197">
        <f t="shared" si="3"/>
        <v>6.4800757802790682E-2</v>
      </c>
    </row>
    <row r="37" spans="2:21" x14ac:dyDescent="0.25">
      <c r="B37" s="187" t="s">
        <v>34</v>
      </c>
      <c r="C37" s="188">
        <v>570510</v>
      </c>
      <c r="D37" s="189">
        <v>15000</v>
      </c>
      <c r="E37" s="198">
        <v>33773</v>
      </c>
      <c r="F37" s="191">
        <v>4</v>
      </c>
      <c r="G37" s="191">
        <v>6261</v>
      </c>
      <c r="H37" s="192">
        <v>91341.876259245124</v>
      </c>
      <c r="I37" s="193">
        <v>55453.365436213753</v>
      </c>
      <c r="J37" s="191">
        <v>1</v>
      </c>
      <c r="K37" s="194">
        <f t="shared" si="9"/>
        <v>4621.0617783258758</v>
      </c>
      <c r="L37" s="194">
        <f t="shared" si="4"/>
        <v>606.29921259842524</v>
      </c>
      <c r="M37" s="194">
        <f t="shared" si="5"/>
        <v>2450.2276931834353</v>
      </c>
      <c r="N37" s="194">
        <f t="shared" si="6"/>
        <v>7202.1023064024475</v>
      </c>
      <c r="O37" s="194">
        <f t="shared" si="7"/>
        <v>8430.0999831541449</v>
      </c>
      <c r="P37" s="194">
        <f t="shared" si="8"/>
        <v>447.67441860465118</v>
      </c>
      <c r="Q37" s="195">
        <f t="shared" si="0"/>
        <v>38757.465392268983</v>
      </c>
      <c r="R37" s="196">
        <f t="shared" si="1"/>
        <v>7.7514930784537972E-2</v>
      </c>
      <c r="S37" s="196">
        <f t="shared" si="2"/>
        <v>0.14213553338507093</v>
      </c>
      <c r="T37" s="197">
        <f t="shared" si="3"/>
        <v>6.7934769578568269E-2</v>
      </c>
    </row>
    <row r="38" spans="2:21" x14ac:dyDescent="0.25">
      <c r="B38" s="187" t="s">
        <v>35</v>
      </c>
      <c r="C38" s="188">
        <v>777490</v>
      </c>
      <c r="D38" s="189">
        <v>15000</v>
      </c>
      <c r="E38" s="190">
        <v>64348</v>
      </c>
      <c r="F38" s="191">
        <v>6</v>
      </c>
      <c r="G38" s="191">
        <v>13920</v>
      </c>
      <c r="H38" s="192">
        <v>85682.185943216726</v>
      </c>
      <c r="I38" s="193">
        <v>72340.299550775148</v>
      </c>
      <c r="J38" s="191">
        <v>1</v>
      </c>
      <c r="K38" s="194">
        <f t="shared" si="9"/>
        <v>8804.5504785394678</v>
      </c>
      <c r="L38" s="194">
        <f t="shared" si="4"/>
        <v>909.44881889763781</v>
      </c>
      <c r="M38" s="194">
        <f t="shared" si="5"/>
        <v>5447.5594136900527</v>
      </c>
      <c r="N38" s="194">
        <f t="shared" si="6"/>
        <v>6755.8484046005779</v>
      </c>
      <c r="O38" s="194">
        <f t="shared" si="7"/>
        <v>10997.275877256365</v>
      </c>
      <c r="P38" s="194">
        <f t="shared" si="8"/>
        <v>447.67441860465118</v>
      </c>
      <c r="Q38" s="195">
        <f t="shared" si="0"/>
        <v>48362.357411588753</v>
      </c>
      <c r="R38" s="196">
        <f t="shared" si="1"/>
        <v>9.6724714823177516E-2</v>
      </c>
      <c r="S38" s="196">
        <f t="shared" si="2"/>
        <v>0.19370204878364761</v>
      </c>
      <c r="T38" s="197">
        <f t="shared" si="3"/>
        <v>6.2203188994827914E-2</v>
      </c>
      <c r="U38" s="195">
        <f>SUM(Q36:Q38)/SUM(C36:C38)</f>
        <v>6.4668065752438414E-2</v>
      </c>
    </row>
    <row r="39" spans="2:21" x14ac:dyDescent="0.25">
      <c r="B39" s="7" t="s">
        <v>36</v>
      </c>
      <c r="C39" s="8">
        <f>SUM(C5:C38)</f>
        <v>4013845</v>
      </c>
      <c r="D39" s="9">
        <f>SUM(D5:D38)</f>
        <v>307500</v>
      </c>
      <c r="E39" s="138">
        <v>281377</v>
      </c>
      <c r="F39" s="7">
        <v>127</v>
      </c>
      <c r="G39" s="7">
        <v>49189</v>
      </c>
      <c r="H39" s="38">
        <v>488282.73834082205</v>
      </c>
      <c r="I39" s="139">
        <v>253253.76609536138</v>
      </c>
      <c r="J39" s="7">
        <v>86</v>
      </c>
      <c r="K39" s="136">
        <f>38500</f>
        <v>38500</v>
      </c>
      <c r="L39" s="136">
        <v>19250</v>
      </c>
      <c r="M39" s="136">
        <v>19250</v>
      </c>
      <c r="N39" s="136">
        <v>38500</v>
      </c>
      <c r="O39" s="136">
        <v>38500</v>
      </c>
      <c r="P39" s="136">
        <v>38500</v>
      </c>
      <c r="Q39" s="136">
        <f>SUM(Q5:Q38)</f>
        <v>499999.99999999994</v>
      </c>
      <c r="R39" s="135"/>
      <c r="S39" s="135"/>
      <c r="T39" s="135"/>
      <c r="U39" s="137">
        <f>Q39/C39</f>
        <v>0.12456883611599351</v>
      </c>
    </row>
    <row r="41" spans="2:21" x14ac:dyDescent="0.25">
      <c r="D41" s="109"/>
      <c r="E41" s="109"/>
      <c r="F41" s="109"/>
      <c r="G41" s="109"/>
    </row>
    <row r="42" spans="2:21" x14ac:dyDescent="0.25">
      <c r="D42" s="109"/>
      <c r="E42" s="109"/>
      <c r="F42" s="109"/>
      <c r="G42" s="109"/>
    </row>
    <row r="43" spans="2:21" ht="17.25" x14ac:dyDescent="0.25">
      <c r="B43" s="10" t="s">
        <v>37</v>
      </c>
      <c r="C43" s="10"/>
    </row>
    <row r="44" spans="2:21" ht="17.25" x14ac:dyDescent="0.25">
      <c r="B44" s="10" t="s">
        <v>38</v>
      </c>
      <c r="C44" s="10"/>
    </row>
    <row r="45" spans="2:21" ht="17.25" x14ac:dyDescent="0.25">
      <c r="B45" s="10" t="s">
        <v>39</v>
      </c>
      <c r="C45" s="10"/>
    </row>
    <row r="46" spans="2:21" ht="17.25" x14ac:dyDescent="0.25">
      <c r="B46" s="11" t="s">
        <v>40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</row>
    <row r="47" spans="2:21" ht="17.25" x14ac:dyDescent="0.25">
      <c r="B47" s="216" t="s">
        <v>125</v>
      </c>
      <c r="C47" s="215"/>
      <c r="D47" s="215"/>
      <c r="E47" s="215"/>
      <c r="F47" s="215"/>
      <c r="G47" s="215"/>
      <c r="H47" s="215"/>
      <c r="I47" s="215"/>
      <c r="J47" s="215"/>
      <c r="K47" s="215"/>
      <c r="L47" s="215"/>
      <c r="M47" s="215"/>
      <c r="N47" s="215"/>
      <c r="O47" s="215"/>
      <c r="P47" s="215"/>
      <c r="Q47" s="215"/>
    </row>
    <row r="48" spans="2:21" ht="17.25" x14ac:dyDescent="0.25">
      <c r="B48" s="215" t="s">
        <v>162</v>
      </c>
      <c r="C48" s="215"/>
      <c r="D48" s="215"/>
      <c r="E48" s="215"/>
      <c r="F48" s="215"/>
      <c r="G48" s="215"/>
      <c r="H48" s="215"/>
      <c r="I48" s="215"/>
      <c r="J48" s="215"/>
      <c r="K48" s="215"/>
      <c r="L48" s="215"/>
      <c r="M48" s="215"/>
      <c r="N48" s="215"/>
      <c r="O48" s="215"/>
      <c r="P48" s="215"/>
      <c r="Q48" s="215"/>
    </row>
    <row r="49" spans="2:2" ht="17.25" x14ac:dyDescent="0.25">
      <c r="B49" t="s">
        <v>129</v>
      </c>
    </row>
    <row r="50" spans="2:2" ht="17.25" x14ac:dyDescent="0.25">
      <c r="B50" t="s">
        <v>153</v>
      </c>
    </row>
  </sheetData>
  <sortState ref="B5:U38">
    <sortCondition ref="C5:C38"/>
  </sortState>
  <mergeCells count="4">
    <mergeCell ref="B48:Q48"/>
    <mergeCell ref="B47:Q47"/>
    <mergeCell ref="F3:G3"/>
    <mergeCell ref="L3:M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7"/>
  <sheetViews>
    <sheetView topLeftCell="A10" workbookViewId="0">
      <selection activeCell="O27" sqref="O27"/>
    </sheetView>
  </sheetViews>
  <sheetFormatPr defaultRowHeight="15" x14ac:dyDescent="0.25"/>
  <cols>
    <col min="1" max="1" width="17.140625" customWidth="1"/>
    <col min="2" max="2" width="10.5703125" customWidth="1"/>
    <col min="5" max="5" width="1.7109375" customWidth="1"/>
    <col min="6" max="6" width="16" customWidth="1"/>
    <col min="7" max="7" width="11.85546875" customWidth="1"/>
    <col min="10" max="10" width="3.140625" customWidth="1"/>
    <col min="11" max="11" width="14" customWidth="1"/>
  </cols>
  <sheetData>
    <row r="2" spans="1:11" ht="75" x14ac:dyDescent="0.25">
      <c r="A2" s="1" t="s">
        <v>0</v>
      </c>
      <c r="B2" s="134" t="s">
        <v>154</v>
      </c>
      <c r="C2" s="134" t="s">
        <v>150</v>
      </c>
      <c r="D2" s="134" t="s">
        <v>151</v>
      </c>
      <c r="F2" s="140" t="s">
        <v>0</v>
      </c>
      <c r="G2" s="134" t="s">
        <v>147</v>
      </c>
      <c r="H2" s="134" t="s">
        <v>150</v>
      </c>
      <c r="I2" s="134" t="s">
        <v>151</v>
      </c>
      <c r="K2" s="134" t="s">
        <v>155</v>
      </c>
    </row>
    <row r="3" spans="1:11" x14ac:dyDescent="0.25">
      <c r="A3" s="2" t="s">
        <v>2</v>
      </c>
      <c r="B3" s="199">
        <v>5033.6376964930305</v>
      </c>
      <c r="C3" s="204">
        <v>3.483486295150886</v>
      </c>
      <c r="F3" s="141" t="s">
        <v>2</v>
      </c>
      <c r="G3" s="210">
        <v>6662.3512380081374</v>
      </c>
      <c r="H3" s="151">
        <v>4.6106236941232783</v>
      </c>
      <c r="K3" s="109">
        <f>G3-B3</f>
        <v>1628.713541515107</v>
      </c>
    </row>
    <row r="4" spans="1:11" x14ac:dyDescent="0.25">
      <c r="A4" s="2" t="s">
        <v>3</v>
      </c>
      <c r="B4" s="199">
        <v>5174.4016900340985</v>
      </c>
      <c r="C4" s="204">
        <v>0.72878897042733781</v>
      </c>
      <c r="F4" s="141" t="s">
        <v>3</v>
      </c>
      <c r="G4" s="210">
        <v>6726.5980306993843</v>
      </c>
      <c r="H4" s="151">
        <v>0.94740817333794147</v>
      </c>
      <c r="K4" s="109">
        <f t="shared" ref="K4:K36" si="0">G4-B4</f>
        <v>1552.1963406652858</v>
      </c>
    </row>
    <row r="5" spans="1:11" x14ac:dyDescent="0.25">
      <c r="A5" s="2" t="s">
        <v>4</v>
      </c>
      <c r="B5" s="199">
        <v>5331.1517638686864</v>
      </c>
      <c r="C5" s="204">
        <v>0.73079530690454919</v>
      </c>
      <c r="F5" s="141" t="s">
        <v>4</v>
      </c>
      <c r="G5" s="210">
        <v>6914.2953275664804</v>
      </c>
      <c r="H5" s="151">
        <v>0.94781293044091575</v>
      </c>
      <c r="K5" s="109">
        <f t="shared" si="0"/>
        <v>1583.143563697794</v>
      </c>
    </row>
    <row r="6" spans="1:11" x14ac:dyDescent="0.25">
      <c r="A6" s="2" t="s">
        <v>5</v>
      </c>
      <c r="B6" s="199">
        <v>5204.4382213171557</v>
      </c>
      <c r="C6" s="204">
        <v>0.70046274849490653</v>
      </c>
      <c r="F6" s="141" t="s">
        <v>5</v>
      </c>
      <c r="G6" s="210">
        <v>6576.4093787166103</v>
      </c>
      <c r="H6" s="151">
        <v>0.88511566335351421</v>
      </c>
      <c r="K6" s="109">
        <f t="shared" si="0"/>
        <v>1371.9711573994546</v>
      </c>
    </row>
    <row r="7" spans="1:11" x14ac:dyDescent="0.25">
      <c r="A7" s="2" t="s">
        <v>6</v>
      </c>
      <c r="B7" s="199">
        <v>5307.5696763503156</v>
      </c>
      <c r="C7" s="204">
        <v>0.66261793712238648</v>
      </c>
      <c r="F7" s="141" t="s">
        <v>6</v>
      </c>
      <c r="G7" s="210">
        <v>6947.6290775263806</v>
      </c>
      <c r="H7" s="151">
        <v>0.86736942291215735</v>
      </c>
      <c r="K7" s="109">
        <f t="shared" si="0"/>
        <v>1640.059401176065</v>
      </c>
    </row>
    <row r="8" spans="1:11" x14ac:dyDescent="0.25">
      <c r="A8" s="2" t="s">
        <v>7</v>
      </c>
      <c r="B8" s="199">
        <v>6024.308673706747</v>
      </c>
      <c r="C8" s="204">
        <v>0.51799730642362396</v>
      </c>
      <c r="F8" s="141" t="s">
        <v>7</v>
      </c>
      <c r="G8" s="210">
        <v>7495.1527191556243</v>
      </c>
      <c r="H8" s="151">
        <v>0.6444671297640262</v>
      </c>
      <c r="K8" s="109">
        <f t="shared" si="0"/>
        <v>1470.8440454488773</v>
      </c>
    </row>
    <row r="9" spans="1:11" x14ac:dyDescent="0.25">
      <c r="A9" s="2" t="s">
        <v>8</v>
      </c>
      <c r="B9" s="199">
        <v>5590.6052669767405</v>
      </c>
      <c r="C9" s="204">
        <v>0.34037170575200854</v>
      </c>
      <c r="D9" s="204">
        <v>0.63480429744243316</v>
      </c>
      <c r="F9" s="141" t="s">
        <v>8</v>
      </c>
      <c r="G9" s="210">
        <v>6743.3556736773953</v>
      </c>
      <c r="H9" s="151">
        <v>0.41055437891490992</v>
      </c>
      <c r="I9" s="149">
        <v>0.81007485371787336</v>
      </c>
      <c r="K9" s="109">
        <f t="shared" si="0"/>
        <v>1152.7504067006548</v>
      </c>
    </row>
    <row r="10" spans="1:11" x14ac:dyDescent="0.25">
      <c r="A10" s="3" t="s">
        <v>9</v>
      </c>
      <c r="B10" s="200">
        <v>8371.9089312929464</v>
      </c>
      <c r="C10" s="205">
        <v>0.39705520186354976</v>
      </c>
      <c r="F10" s="153" t="s">
        <v>9</v>
      </c>
      <c r="G10" s="211">
        <v>9697.3166176402592</v>
      </c>
      <c r="H10" s="163">
        <v>0.45991541938061464</v>
      </c>
      <c r="K10" s="109">
        <f t="shared" si="0"/>
        <v>1325.4076863473128</v>
      </c>
    </row>
    <row r="11" spans="1:11" x14ac:dyDescent="0.25">
      <c r="A11" s="3" t="s">
        <v>10</v>
      </c>
      <c r="B11" s="200">
        <v>8957.9666915412799</v>
      </c>
      <c r="C11" s="205">
        <v>0.39910744894369704</v>
      </c>
      <c r="F11" s="153" t="s">
        <v>10</v>
      </c>
      <c r="G11" s="211">
        <v>10853.787738830513</v>
      </c>
      <c r="H11" s="163">
        <v>0.48357263260550293</v>
      </c>
      <c r="K11" s="109">
        <f t="shared" si="0"/>
        <v>1895.8210472892333</v>
      </c>
    </row>
    <row r="12" spans="1:11" x14ac:dyDescent="0.25">
      <c r="A12" s="3" t="s">
        <v>11</v>
      </c>
      <c r="B12" s="200">
        <v>8522.5213697209529</v>
      </c>
      <c r="C12" s="205">
        <v>0.37928444012999346</v>
      </c>
      <c r="F12" s="153" t="s">
        <v>11</v>
      </c>
      <c r="G12" s="211">
        <v>9464.3652903104921</v>
      </c>
      <c r="H12" s="163">
        <v>0.42120005742369793</v>
      </c>
      <c r="K12" s="109">
        <f t="shared" si="0"/>
        <v>941.84392058953927</v>
      </c>
    </row>
    <row r="13" spans="1:11" x14ac:dyDescent="0.25">
      <c r="A13" s="3" t="s">
        <v>12</v>
      </c>
      <c r="B13" s="200">
        <v>9408.3111975734337</v>
      </c>
      <c r="C13" s="205">
        <v>0.38805160641672237</v>
      </c>
      <c r="F13" s="153" t="s">
        <v>12</v>
      </c>
      <c r="G13" s="211">
        <v>10996.177023826549</v>
      </c>
      <c r="H13" s="163">
        <v>0.45354411317082077</v>
      </c>
      <c r="K13" s="109">
        <f t="shared" si="0"/>
        <v>1587.8658262531153</v>
      </c>
    </row>
    <row r="14" spans="1:11" x14ac:dyDescent="0.25">
      <c r="A14" s="3" t="s">
        <v>13</v>
      </c>
      <c r="B14" s="200">
        <v>8647.7216303963505</v>
      </c>
      <c r="C14" s="205">
        <v>0.33661820281807514</v>
      </c>
      <c r="F14" s="153" t="s">
        <v>13</v>
      </c>
      <c r="G14" s="211">
        <v>9692.5795233126992</v>
      </c>
      <c r="H14" s="163">
        <v>0.37728997755207083</v>
      </c>
      <c r="K14" s="109">
        <f t="shared" si="0"/>
        <v>1044.8578929163486</v>
      </c>
    </row>
    <row r="15" spans="1:11" x14ac:dyDescent="0.25">
      <c r="A15" s="3" t="s">
        <v>14</v>
      </c>
      <c r="B15" s="200">
        <v>8463.1842767968465</v>
      </c>
      <c r="C15" s="205">
        <v>0.31786607612382523</v>
      </c>
      <c r="F15" s="153" t="s">
        <v>14</v>
      </c>
      <c r="G15" s="211">
        <v>9716.6724241568081</v>
      </c>
      <c r="H15" s="163">
        <v>0.36494544316081906</v>
      </c>
      <c r="K15" s="109">
        <f t="shared" si="0"/>
        <v>1253.4881473599617</v>
      </c>
    </row>
    <row r="16" spans="1:11" x14ac:dyDescent="0.25">
      <c r="A16" s="3" t="s">
        <v>15</v>
      </c>
      <c r="B16" s="200">
        <v>19280.805927916677</v>
      </c>
      <c r="C16" s="205">
        <v>0.63981436628228561</v>
      </c>
      <c r="F16" s="153" t="s">
        <v>15</v>
      </c>
      <c r="G16" s="211">
        <v>22781.3484613904</v>
      </c>
      <c r="H16" s="163">
        <v>0.75597638829900116</v>
      </c>
      <c r="K16" s="109">
        <f t="shared" si="0"/>
        <v>3500.5425334737229</v>
      </c>
    </row>
    <row r="17" spans="1:11" x14ac:dyDescent="0.25">
      <c r="A17" s="3" t="s">
        <v>16</v>
      </c>
      <c r="B17" s="200">
        <v>10150.636005391969</v>
      </c>
      <c r="C17" s="205">
        <v>0.32244714121321377</v>
      </c>
      <c r="F17" s="153" t="s">
        <v>16</v>
      </c>
      <c r="G17" s="211">
        <v>11190.375831486512</v>
      </c>
      <c r="H17" s="163">
        <v>0.35547572526958421</v>
      </c>
      <c r="K17" s="109">
        <f t="shared" si="0"/>
        <v>1039.7398260945429</v>
      </c>
    </row>
    <row r="18" spans="1:11" x14ac:dyDescent="0.25">
      <c r="A18" s="3" t="s">
        <v>17</v>
      </c>
      <c r="B18" s="200">
        <v>9096.0808661340416</v>
      </c>
      <c r="C18" s="205">
        <v>0.24095578453335209</v>
      </c>
      <c r="F18" s="153" t="s">
        <v>17</v>
      </c>
      <c r="G18" s="211">
        <v>9862.152807262908</v>
      </c>
      <c r="H18" s="163">
        <v>0.26124908098709693</v>
      </c>
      <c r="K18" s="109">
        <f t="shared" si="0"/>
        <v>766.07194112886646</v>
      </c>
    </row>
    <row r="19" spans="1:11" x14ac:dyDescent="0.25">
      <c r="A19" s="3" t="s">
        <v>18</v>
      </c>
      <c r="B19" s="200">
        <v>9710.9648810380877</v>
      </c>
      <c r="C19" s="205">
        <v>0.20563186619455984</v>
      </c>
      <c r="F19" s="153" t="s">
        <v>18</v>
      </c>
      <c r="G19" s="211">
        <v>10279.918316427429</v>
      </c>
      <c r="H19" s="163">
        <v>0.21767958319592226</v>
      </c>
      <c r="K19" s="109">
        <f t="shared" si="0"/>
        <v>568.95343538934139</v>
      </c>
    </row>
    <row r="20" spans="1:11" x14ac:dyDescent="0.25">
      <c r="A20" s="3" t="s">
        <v>19</v>
      </c>
      <c r="B20" s="200">
        <v>9346.1455843828589</v>
      </c>
      <c r="C20" s="205">
        <v>0.18547619734834012</v>
      </c>
      <c r="F20" s="153" t="s">
        <v>19</v>
      </c>
      <c r="G20" s="211">
        <v>10149.128902945253</v>
      </c>
      <c r="H20" s="163">
        <v>0.20141156782983236</v>
      </c>
      <c r="K20" s="109">
        <f t="shared" si="0"/>
        <v>802.98331856239383</v>
      </c>
    </row>
    <row r="21" spans="1:11" x14ac:dyDescent="0.25">
      <c r="A21" s="3" t="s">
        <v>20</v>
      </c>
      <c r="B21" s="200">
        <v>10117.492198033431</v>
      </c>
      <c r="C21" s="205">
        <v>0.16062060958935437</v>
      </c>
      <c r="F21" s="153" t="s">
        <v>20</v>
      </c>
      <c r="G21" s="211">
        <v>9921.1881635679892</v>
      </c>
      <c r="H21" s="163">
        <v>0.1575041778626447</v>
      </c>
      <c r="K21" s="109">
        <f t="shared" si="0"/>
        <v>-196.30403446544187</v>
      </c>
    </row>
    <row r="22" spans="1:11" x14ac:dyDescent="0.25">
      <c r="A22" s="3" t="s">
        <v>21</v>
      </c>
      <c r="B22" s="200">
        <v>11019.767704767743</v>
      </c>
      <c r="C22" s="205">
        <v>0.16420455527891137</v>
      </c>
      <c r="D22" s="205">
        <v>0.27913616230514143</v>
      </c>
      <c r="F22" s="153" t="s">
        <v>21</v>
      </c>
      <c r="G22" s="211">
        <v>11506.313604905401</v>
      </c>
      <c r="H22" s="163">
        <v>0.17145453143950828</v>
      </c>
      <c r="I22" s="161">
        <v>0.31111345861950257</v>
      </c>
      <c r="K22" s="109">
        <f t="shared" si="0"/>
        <v>486.54590013765846</v>
      </c>
    </row>
    <row r="23" spans="1:11" x14ac:dyDescent="0.25">
      <c r="A23" s="4" t="s">
        <v>22</v>
      </c>
      <c r="B23" s="201">
        <v>13402.976963620942</v>
      </c>
      <c r="C23" s="206">
        <v>0.17058644474508008</v>
      </c>
      <c r="F23" s="164" t="s">
        <v>22</v>
      </c>
      <c r="G23" s="212">
        <v>13942.752942686731</v>
      </c>
      <c r="H23" s="174">
        <v>0.17745644575139025</v>
      </c>
      <c r="K23" s="109">
        <f t="shared" si="0"/>
        <v>539.77597906578922</v>
      </c>
    </row>
    <row r="24" spans="1:11" x14ac:dyDescent="0.25">
      <c r="A24" s="4" t="s">
        <v>23</v>
      </c>
      <c r="B24" s="201">
        <v>15344.963590237881</v>
      </c>
      <c r="C24" s="206">
        <v>0.19385968783068513</v>
      </c>
      <c r="F24" s="164" t="s">
        <v>23</v>
      </c>
      <c r="G24" s="212">
        <v>15137.535362821262</v>
      </c>
      <c r="H24" s="174">
        <v>0.19123915561646468</v>
      </c>
      <c r="K24" s="109">
        <f t="shared" si="0"/>
        <v>-207.42822741661985</v>
      </c>
    </row>
    <row r="25" spans="1:11" x14ac:dyDescent="0.25">
      <c r="A25" s="4" t="s">
        <v>24</v>
      </c>
      <c r="B25" s="201">
        <v>13478.452531580231</v>
      </c>
      <c r="C25" s="206">
        <v>0.16099441628738928</v>
      </c>
      <c r="F25" s="164" t="s">
        <v>24</v>
      </c>
      <c r="G25" s="212">
        <v>13863.841204701119</v>
      </c>
      <c r="H25" s="174">
        <v>0.16559772103083037</v>
      </c>
      <c r="K25" s="109">
        <f t="shared" si="0"/>
        <v>385.38867312088769</v>
      </c>
    </row>
    <row r="26" spans="1:11" x14ac:dyDescent="0.25">
      <c r="A26" s="4" t="s">
        <v>25</v>
      </c>
      <c r="B26" s="201">
        <v>13104.23638742482</v>
      </c>
      <c r="C26" s="206">
        <v>0.14559453794150126</v>
      </c>
      <c r="F26" s="164" t="s">
        <v>25</v>
      </c>
      <c r="G26" s="212">
        <v>13933.304983101687</v>
      </c>
      <c r="H26" s="174">
        <v>0.15480589948449183</v>
      </c>
      <c r="K26" s="109">
        <f t="shared" si="0"/>
        <v>829.06859567686661</v>
      </c>
    </row>
    <row r="27" spans="1:11" x14ac:dyDescent="0.25">
      <c r="A27" s="4" t="s">
        <v>26</v>
      </c>
      <c r="B27" s="201">
        <v>15188.588030481298</v>
      </c>
      <c r="C27" s="206">
        <v>0.14656555081039563</v>
      </c>
      <c r="F27" s="164" t="s">
        <v>26</v>
      </c>
      <c r="G27" s="212">
        <v>14667.59239053714</v>
      </c>
      <c r="H27" s="174">
        <v>0.14153809119499314</v>
      </c>
      <c r="K27" s="109">
        <f t="shared" si="0"/>
        <v>-520.99563994415803</v>
      </c>
    </row>
    <row r="28" spans="1:11" x14ac:dyDescent="0.25">
      <c r="A28" s="4" t="s">
        <v>27</v>
      </c>
      <c r="B28" s="201">
        <v>14852.233372697041</v>
      </c>
      <c r="C28" s="206">
        <v>0.13513086500497717</v>
      </c>
      <c r="F28" s="164" t="s">
        <v>27</v>
      </c>
      <c r="G28" s="212">
        <v>13596.26472797757</v>
      </c>
      <c r="H28" s="174">
        <v>0.12370361866961668</v>
      </c>
      <c r="K28" s="109">
        <f t="shared" si="0"/>
        <v>-1255.9686447194708</v>
      </c>
    </row>
    <row r="29" spans="1:11" x14ac:dyDescent="0.25">
      <c r="A29" s="4" t="s">
        <v>28</v>
      </c>
      <c r="B29" s="201">
        <v>15053.883548989086</v>
      </c>
      <c r="C29" s="206">
        <v>0.1245563755501331</v>
      </c>
      <c r="D29" s="206">
        <v>0.15082275951795646</v>
      </c>
      <c r="F29" s="164" t="s">
        <v>28</v>
      </c>
      <c r="G29" s="212">
        <v>14290.991532157997</v>
      </c>
      <c r="H29" s="174">
        <v>0.11824417948169781</v>
      </c>
      <c r="I29" s="172">
        <v>0.14933135562661787</v>
      </c>
      <c r="K29" s="109">
        <f t="shared" si="0"/>
        <v>-762.89201683108877</v>
      </c>
    </row>
    <row r="30" spans="1:11" x14ac:dyDescent="0.25">
      <c r="A30" s="5" t="s">
        <v>29</v>
      </c>
      <c r="B30" s="202">
        <v>17923.789316583268</v>
      </c>
      <c r="C30" s="207">
        <v>0.10497709568105464</v>
      </c>
      <c r="F30" s="176" t="s">
        <v>29</v>
      </c>
      <c r="G30" s="213">
        <v>17810.499625745615</v>
      </c>
      <c r="H30" s="186">
        <v>0.10431357400577261</v>
      </c>
      <c r="K30" s="109">
        <f t="shared" si="0"/>
        <v>-113.28969083765332</v>
      </c>
    </row>
    <row r="31" spans="1:11" x14ac:dyDescent="0.25">
      <c r="A31" s="5" t="s">
        <v>30</v>
      </c>
      <c r="B31" s="202">
        <v>22285.383072976252</v>
      </c>
      <c r="C31" s="207">
        <v>0.10563044471134614</v>
      </c>
      <c r="F31" s="176" t="s">
        <v>30</v>
      </c>
      <c r="G31" s="213">
        <v>19880.776940789077</v>
      </c>
      <c r="H31" s="186">
        <v>9.4232856692921335E-2</v>
      </c>
      <c r="K31" s="109">
        <f t="shared" si="0"/>
        <v>-2404.6061321871748</v>
      </c>
    </row>
    <row r="32" spans="1:11" x14ac:dyDescent="0.25">
      <c r="A32" s="5" t="s">
        <v>31</v>
      </c>
      <c r="B32" s="202">
        <v>36035.061575602878</v>
      </c>
      <c r="C32" s="207">
        <v>0.10927331647997962</v>
      </c>
      <c r="F32" s="176" t="s">
        <v>31</v>
      </c>
      <c r="G32" s="213">
        <v>31581.851402883407</v>
      </c>
      <c r="H32" s="186">
        <v>9.5769328328481687E-2</v>
      </c>
      <c r="K32" s="109">
        <f t="shared" si="0"/>
        <v>-4453.2101727194713</v>
      </c>
    </row>
    <row r="33" spans="1:11" x14ac:dyDescent="0.25">
      <c r="A33" s="5" t="s">
        <v>32</v>
      </c>
      <c r="B33" s="202">
        <v>27068.882246955971</v>
      </c>
      <c r="C33" s="207">
        <v>7.4744946146502747E-2</v>
      </c>
      <c r="D33" s="207">
        <v>9.6227410816635411E-2</v>
      </c>
      <c r="F33" s="176" t="s">
        <v>32</v>
      </c>
      <c r="G33" s="213">
        <v>24246.800791865462</v>
      </c>
      <c r="H33" s="186">
        <v>6.6952369989963997E-2</v>
      </c>
      <c r="I33" s="184">
        <v>8.710588678767324E-2</v>
      </c>
      <c r="K33" s="109">
        <f t="shared" si="0"/>
        <v>-2822.0814550905088</v>
      </c>
    </row>
    <row r="34" spans="1:11" x14ac:dyDescent="0.25">
      <c r="A34" s="6" t="s">
        <v>33</v>
      </c>
      <c r="B34" s="203">
        <v>29222.350823204775</v>
      </c>
      <c r="C34" s="208">
        <v>7.3536622729103454E-2</v>
      </c>
      <c r="F34" s="187" t="s">
        <v>33</v>
      </c>
      <c r="G34" s="214">
        <v>25750.849139461978</v>
      </c>
      <c r="H34" s="197">
        <v>6.4800757802790682E-2</v>
      </c>
      <c r="K34" s="109">
        <f t="shared" si="0"/>
        <v>-3471.5016837427975</v>
      </c>
    </row>
    <row r="35" spans="1:11" x14ac:dyDescent="0.25">
      <c r="A35" s="6" t="s">
        <v>34</v>
      </c>
      <c r="B35" s="203">
        <v>43134.469269406851</v>
      </c>
      <c r="C35" s="208">
        <v>7.5606859247702676E-2</v>
      </c>
      <c r="F35" s="187" t="s">
        <v>34</v>
      </c>
      <c r="G35" s="214">
        <v>38757.465392268983</v>
      </c>
      <c r="H35" s="197">
        <v>6.7934769578568269E-2</v>
      </c>
      <c r="K35" s="109">
        <f t="shared" si="0"/>
        <v>-4377.0038771378677</v>
      </c>
    </row>
    <row r="36" spans="1:11" x14ac:dyDescent="0.25">
      <c r="A36" s="6" t="s">
        <v>35</v>
      </c>
      <c r="B36" s="203">
        <v>55145.109016505317</v>
      </c>
      <c r="C36" s="208">
        <v>7.0927097475858625E-2</v>
      </c>
      <c r="D36" s="208">
        <v>7.3050890840196836E-2</v>
      </c>
      <c r="F36" s="187" t="s">
        <v>35</v>
      </c>
      <c r="G36" s="214">
        <v>48362.357411588753</v>
      </c>
      <c r="H36" s="197">
        <v>6.2203188994827914E-2</v>
      </c>
      <c r="I36" s="195">
        <v>6.4668065752438414E-2</v>
      </c>
      <c r="K36" s="109">
        <f t="shared" si="0"/>
        <v>-6782.7516049165642</v>
      </c>
    </row>
    <row r="37" spans="1:11" x14ac:dyDescent="0.25">
      <c r="A37" s="7" t="s">
        <v>36</v>
      </c>
      <c r="B37" s="9">
        <v>500000.00000000006</v>
      </c>
      <c r="C37" s="209">
        <v>0.12456883611599354</v>
      </c>
      <c r="D37" s="209">
        <v>0.12456883611599354</v>
      </c>
      <c r="F37" s="7" t="s">
        <v>36</v>
      </c>
      <c r="G37" s="9">
        <v>499999.99999999994</v>
      </c>
      <c r="H37" s="135"/>
      <c r="I37" s="137">
        <v>0.12456883611599351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41"/>
  <sheetViews>
    <sheetView topLeftCell="A10" zoomScale="115" zoomScaleNormal="115" workbookViewId="0">
      <selection activeCell="F7" sqref="F7:F41"/>
    </sheetView>
  </sheetViews>
  <sheetFormatPr defaultRowHeight="15" x14ac:dyDescent="0.25"/>
  <cols>
    <col min="2" max="2" width="18.5703125" customWidth="1"/>
    <col min="3" max="3" width="11.85546875" customWidth="1"/>
    <col min="7" max="7" width="13.28515625" customWidth="1"/>
    <col min="8" max="8" width="16.42578125" customWidth="1"/>
  </cols>
  <sheetData>
    <row r="3" spans="2:8" x14ac:dyDescent="0.25">
      <c r="B3" t="s">
        <v>41</v>
      </c>
      <c r="C3" s="12">
        <v>0</v>
      </c>
    </row>
    <row r="4" spans="2:8" ht="15.75" thickBot="1" x14ac:dyDescent="0.3">
      <c r="B4" t="s">
        <v>42</v>
      </c>
      <c r="C4" s="13">
        <v>0.1</v>
      </c>
      <c r="D4" s="14"/>
      <c r="E4" s="14"/>
      <c r="F4" s="14"/>
      <c r="G4" s="14"/>
      <c r="H4" s="14"/>
    </row>
    <row r="5" spans="2:8" ht="15.75" thickBot="1" x14ac:dyDescent="0.3">
      <c r="D5" s="219" t="s">
        <v>43</v>
      </c>
      <c r="E5" s="220"/>
      <c r="F5" s="221"/>
      <c r="G5" s="15"/>
      <c r="H5" s="15" t="s">
        <v>44</v>
      </c>
    </row>
    <row r="6" spans="2:8" ht="39" thickBot="1" x14ac:dyDescent="0.3">
      <c r="B6" s="16" t="s">
        <v>0</v>
      </c>
      <c r="C6" s="16" t="s">
        <v>45</v>
      </c>
      <c r="D6" s="17" t="s">
        <v>47</v>
      </c>
      <c r="E6" s="18" t="s">
        <v>48</v>
      </c>
      <c r="F6" s="19" t="s">
        <v>36</v>
      </c>
      <c r="G6" s="20" t="s">
        <v>49</v>
      </c>
      <c r="H6" s="20" t="s">
        <v>50</v>
      </c>
    </row>
    <row r="7" spans="2:8" x14ac:dyDescent="0.25">
      <c r="B7" s="21" t="s">
        <v>8</v>
      </c>
      <c r="C7" s="22">
        <v>16425</v>
      </c>
      <c r="D7" s="24">
        <v>206</v>
      </c>
      <c r="E7" s="25">
        <v>592</v>
      </c>
      <c r="F7" s="26">
        <v>798</v>
      </c>
      <c r="G7" s="27">
        <f t="shared" ref="G7:G41" si="0">F7/C7</f>
        <v>4.8584474885844747E-2</v>
      </c>
      <c r="H7" s="28">
        <f>F7/$F$41</f>
        <v>2.8360526979817114E-3</v>
      </c>
    </row>
    <row r="8" spans="2:8" x14ac:dyDescent="0.25">
      <c r="B8" s="21" t="s">
        <v>25</v>
      </c>
      <c r="C8" s="22">
        <v>90005</v>
      </c>
      <c r="D8" s="29">
        <v>2044</v>
      </c>
      <c r="E8" s="30">
        <v>7673</v>
      </c>
      <c r="F8" s="31">
        <v>9717</v>
      </c>
      <c r="G8" s="27">
        <f t="shared" si="0"/>
        <v>0.10796066885173046</v>
      </c>
      <c r="H8" s="28">
        <f t="shared" ref="H8:H41" si="1">F8/$F$41</f>
        <v>3.4533739431438962E-2</v>
      </c>
    </row>
    <row r="9" spans="2:8" x14ac:dyDescent="0.25">
      <c r="B9" s="21" t="s">
        <v>33</v>
      </c>
      <c r="C9" s="22">
        <v>397385</v>
      </c>
      <c r="D9" s="29">
        <v>4785</v>
      </c>
      <c r="E9" s="30">
        <v>15555</v>
      </c>
      <c r="F9" s="31">
        <v>20340</v>
      </c>
      <c r="G9" s="27">
        <f t="shared" si="0"/>
        <v>5.1184619449652101E-2</v>
      </c>
      <c r="H9" s="28">
        <f t="shared" si="1"/>
        <v>7.2287358241789487E-2</v>
      </c>
    </row>
    <row r="10" spans="2:8" x14ac:dyDescent="0.25">
      <c r="B10" s="21" t="s">
        <v>17</v>
      </c>
      <c r="C10" s="22">
        <v>37750</v>
      </c>
      <c r="D10" s="29">
        <v>550</v>
      </c>
      <c r="E10" s="30">
        <v>1721</v>
      </c>
      <c r="F10" s="31">
        <v>2271</v>
      </c>
      <c r="G10" s="27">
        <f t="shared" si="0"/>
        <v>6.0158940397350993E-2</v>
      </c>
      <c r="H10" s="28">
        <f t="shared" si="1"/>
        <v>8.0710221517750202E-3</v>
      </c>
    </row>
    <row r="11" spans="2:8" x14ac:dyDescent="0.25">
      <c r="B11" s="21" t="s">
        <v>19</v>
      </c>
      <c r="C11" s="22">
        <v>50390</v>
      </c>
      <c r="D11" s="29">
        <v>588</v>
      </c>
      <c r="E11" s="30">
        <v>2486</v>
      </c>
      <c r="F11" s="31">
        <v>3074</v>
      </c>
      <c r="G11" s="27">
        <f t="shared" si="0"/>
        <v>6.100416749355031E-2</v>
      </c>
      <c r="H11" s="28">
        <f t="shared" si="1"/>
        <v>1.0924844603503485E-2</v>
      </c>
    </row>
    <row r="12" spans="2:8" x14ac:dyDescent="0.25">
      <c r="B12" s="21" t="s">
        <v>20</v>
      </c>
      <c r="C12" s="22">
        <v>62990</v>
      </c>
      <c r="D12" s="29">
        <v>913</v>
      </c>
      <c r="E12" s="30">
        <v>2494</v>
      </c>
      <c r="F12" s="31">
        <v>3407</v>
      </c>
      <c r="G12" s="27">
        <f t="shared" si="0"/>
        <v>5.4087950468328309E-2</v>
      </c>
      <c r="H12" s="28">
        <f t="shared" si="1"/>
        <v>1.2108310203037206E-2</v>
      </c>
    </row>
    <row r="13" spans="2:8" x14ac:dyDescent="0.25">
      <c r="B13" s="21" t="s">
        <v>9</v>
      </c>
      <c r="C13" s="22">
        <v>21085</v>
      </c>
      <c r="D13" s="29">
        <v>268</v>
      </c>
      <c r="E13" s="30">
        <v>837</v>
      </c>
      <c r="F13" s="31">
        <v>1105</v>
      </c>
      <c r="G13" s="27">
        <f t="shared" si="0"/>
        <v>5.2406924353806027E-2</v>
      </c>
      <c r="H13" s="28">
        <f t="shared" si="1"/>
        <v>3.92711557803232E-3</v>
      </c>
    </row>
    <row r="14" spans="2:8" x14ac:dyDescent="0.25">
      <c r="B14" s="21" t="s">
        <v>11</v>
      </c>
      <c r="C14" s="22">
        <v>22470</v>
      </c>
      <c r="D14" s="29">
        <v>240</v>
      </c>
      <c r="E14" s="30">
        <v>698</v>
      </c>
      <c r="F14" s="31">
        <v>938</v>
      </c>
      <c r="G14" s="27">
        <f t="shared" si="0"/>
        <v>4.1744548286604365E-2</v>
      </c>
      <c r="H14" s="28">
        <f t="shared" si="1"/>
        <v>3.3336058028907837E-3</v>
      </c>
    </row>
    <row r="15" spans="2:8" x14ac:dyDescent="0.25">
      <c r="B15" s="21" t="s">
        <v>29</v>
      </c>
      <c r="C15" s="22">
        <v>170740</v>
      </c>
      <c r="D15" s="29">
        <v>1893</v>
      </c>
      <c r="E15" s="30">
        <v>8865</v>
      </c>
      <c r="F15" s="31">
        <v>10758</v>
      </c>
      <c r="G15" s="27">
        <f t="shared" si="0"/>
        <v>6.3008082464566004E-2</v>
      </c>
      <c r="H15" s="28">
        <f t="shared" si="1"/>
        <v>3.8233402161512844E-2</v>
      </c>
    </row>
    <row r="16" spans="2:8" x14ac:dyDescent="0.25">
      <c r="B16" s="21" t="s">
        <v>27</v>
      </c>
      <c r="C16" s="22">
        <v>109910</v>
      </c>
      <c r="D16" s="29">
        <v>1506</v>
      </c>
      <c r="E16" s="30">
        <v>4589</v>
      </c>
      <c r="F16" s="31">
        <v>6095</v>
      </c>
      <c r="G16" s="27">
        <f t="shared" si="0"/>
        <v>5.5454462742243651E-2</v>
      </c>
      <c r="H16" s="28">
        <f t="shared" si="1"/>
        <v>2.1661329817291391E-2</v>
      </c>
    </row>
    <row r="17" spans="2:8" x14ac:dyDescent="0.25">
      <c r="B17" s="21" t="s">
        <v>5</v>
      </c>
      <c r="C17" s="22">
        <v>7430</v>
      </c>
      <c r="D17" s="29">
        <v>84</v>
      </c>
      <c r="E17" s="30">
        <v>274</v>
      </c>
      <c r="F17" s="31">
        <v>358</v>
      </c>
      <c r="G17" s="27">
        <f t="shared" si="0"/>
        <v>4.8183041722745623E-2</v>
      </c>
      <c r="H17" s="28">
        <f t="shared" si="1"/>
        <v>1.2723143682674845E-3</v>
      </c>
    </row>
    <row r="18" spans="2:8" x14ac:dyDescent="0.25">
      <c r="B18" s="21" t="s">
        <v>4</v>
      </c>
      <c r="C18" s="22">
        <v>7295</v>
      </c>
      <c r="D18" s="29">
        <v>107</v>
      </c>
      <c r="E18" s="30">
        <v>332</v>
      </c>
      <c r="F18" s="31">
        <v>439</v>
      </c>
      <c r="G18" s="27">
        <f t="shared" si="0"/>
        <v>6.0178204249485952E-2</v>
      </c>
      <c r="H18" s="28">
        <f t="shared" si="1"/>
        <v>1.5601843789648762E-3</v>
      </c>
    </row>
    <row r="19" spans="2:8" x14ac:dyDescent="0.25">
      <c r="B19" s="21" t="s">
        <v>12</v>
      </c>
      <c r="C19" s="22">
        <v>24245</v>
      </c>
      <c r="D19" s="29">
        <v>362</v>
      </c>
      <c r="E19" s="30">
        <v>1363</v>
      </c>
      <c r="F19" s="31">
        <v>1725</v>
      </c>
      <c r="G19" s="27">
        <f t="shared" si="0"/>
        <v>7.1148690451639518E-2</v>
      </c>
      <c r="H19" s="28">
        <f t="shared" si="1"/>
        <v>6.1305650426296395E-3</v>
      </c>
    </row>
    <row r="20" spans="2:8" x14ac:dyDescent="0.25">
      <c r="B20" s="21" t="s">
        <v>30</v>
      </c>
      <c r="C20" s="22">
        <v>210975</v>
      </c>
      <c r="D20" s="29">
        <v>2631</v>
      </c>
      <c r="E20" s="30">
        <v>11784</v>
      </c>
      <c r="F20" s="31">
        <v>14415</v>
      </c>
      <c r="G20" s="27">
        <f t="shared" si="0"/>
        <v>6.8325630998933518E-2</v>
      </c>
      <c r="H20" s="28">
        <f t="shared" si="1"/>
        <v>5.1230200051887678E-2</v>
      </c>
    </row>
    <row r="21" spans="2:8" x14ac:dyDescent="0.25">
      <c r="B21" s="21" t="s">
        <v>10</v>
      </c>
      <c r="C21" s="22">
        <v>22445</v>
      </c>
      <c r="D21" s="29">
        <v>345</v>
      </c>
      <c r="E21" s="30">
        <v>1175</v>
      </c>
      <c r="F21" s="31">
        <v>1520</v>
      </c>
      <c r="G21" s="27">
        <f t="shared" si="0"/>
        <v>6.7721096012474932E-2</v>
      </c>
      <c r="H21" s="28">
        <f t="shared" si="1"/>
        <v>5.4020051390127836E-3</v>
      </c>
    </row>
    <row r="22" spans="2:8" x14ac:dyDescent="0.25">
      <c r="B22" s="21" t="s">
        <v>24</v>
      </c>
      <c r="C22" s="22">
        <v>83720</v>
      </c>
      <c r="D22" s="29">
        <v>1118</v>
      </c>
      <c r="E22" s="30">
        <v>6289</v>
      </c>
      <c r="F22" s="31">
        <v>7407</v>
      </c>
      <c r="G22" s="27">
        <f t="shared" si="0"/>
        <v>8.8473483038700423E-2</v>
      </c>
      <c r="H22" s="28">
        <f t="shared" si="1"/>
        <v>2.6324113200439269E-2</v>
      </c>
    </row>
    <row r="23" spans="2:8" x14ac:dyDescent="0.25">
      <c r="B23" s="21" t="s">
        <v>21</v>
      </c>
      <c r="C23" s="22">
        <v>67110</v>
      </c>
      <c r="D23" s="29">
        <v>1089</v>
      </c>
      <c r="E23" s="30">
        <v>3444</v>
      </c>
      <c r="F23" s="31">
        <v>4533</v>
      </c>
      <c r="G23" s="27">
        <f t="shared" si="0"/>
        <v>6.7545820295038E-2</v>
      </c>
      <c r="H23" s="28">
        <f t="shared" si="1"/>
        <v>1.6110058746805888E-2</v>
      </c>
    </row>
    <row r="24" spans="2:8" x14ac:dyDescent="0.25">
      <c r="B24" s="21" t="s">
        <v>6</v>
      </c>
      <c r="C24" s="22">
        <v>8010</v>
      </c>
      <c r="D24" s="29">
        <v>95</v>
      </c>
      <c r="E24" s="30">
        <v>304</v>
      </c>
      <c r="F24" s="31">
        <v>399</v>
      </c>
      <c r="G24" s="27">
        <f t="shared" si="0"/>
        <v>4.9812734082397003E-2</v>
      </c>
      <c r="H24" s="28">
        <f t="shared" si="1"/>
        <v>1.4180263489908557E-3</v>
      </c>
    </row>
    <row r="25" spans="2:8" x14ac:dyDescent="0.25">
      <c r="B25" s="21" t="s">
        <v>32</v>
      </c>
      <c r="C25" s="22">
        <v>362150</v>
      </c>
      <c r="D25" s="29">
        <v>5471</v>
      </c>
      <c r="E25" s="30">
        <v>25755</v>
      </c>
      <c r="F25" s="31">
        <v>31226</v>
      </c>
      <c r="G25" s="27">
        <f t="shared" si="0"/>
        <v>8.6223940356205994E-2</v>
      </c>
      <c r="H25" s="28">
        <f t="shared" si="1"/>
        <v>0.1109756660992192</v>
      </c>
    </row>
    <row r="26" spans="2:8" x14ac:dyDescent="0.25">
      <c r="B26" s="21" t="s">
        <v>18</v>
      </c>
      <c r="C26" s="22">
        <v>47225</v>
      </c>
      <c r="D26" s="29">
        <v>514</v>
      </c>
      <c r="E26" s="30">
        <v>1628</v>
      </c>
      <c r="F26" s="31">
        <v>2142</v>
      </c>
      <c r="G26" s="27">
        <f t="shared" si="0"/>
        <v>4.5357331921651665E-2</v>
      </c>
      <c r="H26" s="28">
        <f t="shared" si="1"/>
        <v>7.6125625051088044E-3</v>
      </c>
    </row>
    <row r="27" spans="2:8" x14ac:dyDescent="0.25">
      <c r="B27" s="21" t="s">
        <v>28</v>
      </c>
      <c r="C27" s="22">
        <v>120860</v>
      </c>
      <c r="D27" s="29">
        <v>1867</v>
      </c>
      <c r="E27" s="30">
        <v>5733</v>
      </c>
      <c r="F27" s="31">
        <v>7600</v>
      </c>
      <c r="G27" s="27">
        <f t="shared" si="0"/>
        <v>6.2882674168459371E-2</v>
      </c>
      <c r="H27" s="28">
        <f t="shared" si="1"/>
        <v>2.7010025695063916E-2</v>
      </c>
    </row>
    <row r="28" spans="2:8" x14ac:dyDescent="0.25">
      <c r="B28" s="21" t="s">
        <v>16</v>
      </c>
      <c r="C28" s="22">
        <v>31480</v>
      </c>
      <c r="D28" s="29">
        <v>551</v>
      </c>
      <c r="E28" s="30">
        <v>1580</v>
      </c>
      <c r="F28" s="31">
        <v>2131</v>
      </c>
      <c r="G28" s="27">
        <f t="shared" si="0"/>
        <v>6.7693773824650569E-2</v>
      </c>
      <c r="H28" s="28">
        <f t="shared" si="1"/>
        <v>7.5734690468659488E-3</v>
      </c>
    </row>
    <row r="29" spans="2:8" x14ac:dyDescent="0.25">
      <c r="B29" s="21" t="s">
        <v>31</v>
      </c>
      <c r="C29" s="22">
        <v>329770</v>
      </c>
      <c r="D29" s="29">
        <v>4591</v>
      </c>
      <c r="E29" s="30">
        <v>21958</v>
      </c>
      <c r="F29" s="31">
        <v>26549</v>
      </c>
      <c r="G29" s="27">
        <f t="shared" si="0"/>
        <v>8.0507626527579826E-2</v>
      </c>
      <c r="H29" s="28">
        <f t="shared" si="1"/>
        <v>9.435383844450683E-2</v>
      </c>
    </row>
    <row r="30" spans="2:8" x14ac:dyDescent="0.25">
      <c r="B30" s="21" t="s">
        <v>7</v>
      </c>
      <c r="C30" s="22">
        <v>11630</v>
      </c>
      <c r="D30" s="29">
        <v>198</v>
      </c>
      <c r="E30" s="30">
        <v>611</v>
      </c>
      <c r="F30" s="31">
        <v>809</v>
      </c>
      <c r="G30" s="27">
        <f t="shared" si="0"/>
        <v>6.9561478933791915E-2</v>
      </c>
      <c r="H30" s="28">
        <f t="shared" si="1"/>
        <v>2.875146156224567E-3</v>
      </c>
    </row>
    <row r="31" spans="2:8" x14ac:dyDescent="0.25">
      <c r="B31" s="21" t="s">
        <v>35</v>
      </c>
      <c r="C31" s="22">
        <v>777490</v>
      </c>
      <c r="D31" s="29">
        <v>8589</v>
      </c>
      <c r="E31" s="30">
        <v>55759</v>
      </c>
      <c r="F31" s="31">
        <v>64348</v>
      </c>
      <c r="G31" s="27">
        <f t="shared" si="0"/>
        <v>8.2763765450359489E-2</v>
      </c>
      <c r="H31" s="28">
        <f t="shared" si="1"/>
        <v>0.22868962281920696</v>
      </c>
    </row>
    <row r="32" spans="2:8" x14ac:dyDescent="0.25">
      <c r="B32" s="21" t="s">
        <v>15</v>
      </c>
      <c r="C32" s="22">
        <v>30135</v>
      </c>
      <c r="D32" s="29">
        <v>402</v>
      </c>
      <c r="E32" s="30">
        <v>1506</v>
      </c>
      <c r="F32" s="31">
        <v>1908</v>
      </c>
      <c r="G32" s="27">
        <f t="shared" si="0"/>
        <v>6.3315082130413147E-2</v>
      </c>
      <c r="H32" s="28">
        <f t="shared" si="1"/>
        <v>6.7809380297607835E-3</v>
      </c>
    </row>
    <row r="33" spans="2:8" x14ac:dyDescent="0.25">
      <c r="B33" s="21" t="s">
        <v>22</v>
      </c>
      <c r="C33" s="22">
        <v>78570</v>
      </c>
      <c r="D33" s="29">
        <v>1341</v>
      </c>
      <c r="E33" s="30">
        <v>4401</v>
      </c>
      <c r="F33" s="31">
        <v>5742</v>
      </c>
      <c r="G33" s="27">
        <f t="shared" si="0"/>
        <v>7.3081328751431848E-2</v>
      </c>
      <c r="H33" s="28">
        <f t="shared" si="1"/>
        <v>2.0406785202770662E-2</v>
      </c>
    </row>
    <row r="34" spans="2:8" x14ac:dyDescent="0.25">
      <c r="B34" s="21" t="s">
        <v>13</v>
      </c>
      <c r="C34" s="22">
        <v>25690</v>
      </c>
      <c r="D34" s="29">
        <v>312</v>
      </c>
      <c r="E34" s="30">
        <v>870</v>
      </c>
      <c r="F34" s="31">
        <v>1182</v>
      </c>
      <c r="G34" s="27">
        <f t="shared" si="0"/>
        <v>4.6010120669521218E-2</v>
      </c>
      <c r="H34" s="28">
        <f t="shared" si="1"/>
        <v>4.2007697857323091E-3</v>
      </c>
    </row>
    <row r="35" spans="2:8" x14ac:dyDescent="0.25">
      <c r="B35" s="21" t="s">
        <v>23</v>
      </c>
      <c r="C35" s="22">
        <v>79155</v>
      </c>
      <c r="D35" s="29">
        <v>1286</v>
      </c>
      <c r="E35" s="30">
        <v>4199</v>
      </c>
      <c r="F35" s="31">
        <v>5485</v>
      </c>
      <c r="G35" s="27">
        <f t="shared" si="0"/>
        <v>6.9294422335923186E-2</v>
      </c>
      <c r="H35" s="28">
        <f t="shared" si="1"/>
        <v>1.9493419860187579E-2</v>
      </c>
    </row>
    <row r="36" spans="2:8" x14ac:dyDescent="0.25">
      <c r="B36" s="21" t="s">
        <v>14</v>
      </c>
      <c r="C36" s="22">
        <v>26625</v>
      </c>
      <c r="D36" s="29">
        <v>469</v>
      </c>
      <c r="E36" s="30">
        <v>1407</v>
      </c>
      <c r="F36" s="31">
        <v>1876</v>
      </c>
      <c r="G36" s="27">
        <f t="shared" si="0"/>
        <v>7.0460093896713621E-2</v>
      </c>
      <c r="H36" s="28">
        <f t="shared" si="1"/>
        <v>6.6672116057815674E-3</v>
      </c>
    </row>
    <row r="37" spans="2:8" x14ac:dyDescent="0.25">
      <c r="B37" s="21" t="s">
        <v>3</v>
      </c>
      <c r="C37" s="22">
        <v>7100</v>
      </c>
      <c r="D37" s="29">
        <v>71</v>
      </c>
      <c r="E37" s="30">
        <v>274</v>
      </c>
      <c r="F37" s="31">
        <v>345</v>
      </c>
      <c r="G37" s="27">
        <f t="shared" si="0"/>
        <v>4.8591549295774646E-2</v>
      </c>
      <c r="H37" s="28">
        <f t="shared" si="1"/>
        <v>1.2261130085259278E-3</v>
      </c>
    </row>
    <row r="38" spans="2:8" x14ac:dyDescent="0.25">
      <c r="B38" s="21" t="s">
        <v>34</v>
      </c>
      <c r="C38" s="22">
        <v>570510</v>
      </c>
      <c r="D38" s="32">
        <v>6467</v>
      </c>
      <c r="E38" s="33">
        <v>27306</v>
      </c>
      <c r="F38" s="34">
        <v>33773</v>
      </c>
      <c r="G38" s="27">
        <f t="shared" si="0"/>
        <v>5.9197910641355982E-2</v>
      </c>
      <c r="H38" s="28">
        <f t="shared" si="1"/>
        <v>0.12002757865781497</v>
      </c>
    </row>
    <row r="39" spans="2:8" x14ac:dyDescent="0.25">
      <c r="B39" s="21" t="s">
        <v>2</v>
      </c>
      <c r="C39" s="22">
        <v>1445</v>
      </c>
      <c r="D39" s="32">
        <v>10</v>
      </c>
      <c r="E39" s="33">
        <v>50</v>
      </c>
      <c r="F39" s="34">
        <v>60</v>
      </c>
      <c r="G39" s="27">
        <f t="shared" si="0"/>
        <v>4.1522491349480967E-2</v>
      </c>
      <c r="H39" s="28">
        <f t="shared" si="1"/>
        <v>2.1323704496103093E-4</v>
      </c>
    </row>
    <row r="40" spans="2:8" ht="15.75" thickBot="1" x14ac:dyDescent="0.3">
      <c r="B40" s="21" t="s">
        <v>26</v>
      </c>
      <c r="C40" s="22">
        <v>103630</v>
      </c>
      <c r="D40" s="35">
        <v>1563</v>
      </c>
      <c r="E40" s="36">
        <v>5339</v>
      </c>
      <c r="F40" s="37">
        <v>6902</v>
      </c>
      <c r="G40" s="27">
        <f t="shared" si="0"/>
        <v>6.6602335231110685E-2</v>
      </c>
      <c r="H40" s="28">
        <f t="shared" si="1"/>
        <v>2.452936807201726E-2</v>
      </c>
    </row>
    <row r="41" spans="2:8" x14ac:dyDescent="0.25">
      <c r="B41" s="7" t="s">
        <v>36</v>
      </c>
      <c r="C41" s="38">
        <f>SUM(C7:C40)</f>
        <v>4013845</v>
      </c>
      <c r="D41" s="39">
        <v>52526</v>
      </c>
      <c r="E41" s="40">
        <v>228851</v>
      </c>
      <c r="F41" s="41">
        <v>281377</v>
      </c>
      <c r="G41" s="27">
        <f t="shared" si="0"/>
        <v>7.010161079961981E-2</v>
      </c>
      <c r="H41" s="28">
        <f t="shared" si="1"/>
        <v>1</v>
      </c>
    </row>
  </sheetData>
  <mergeCells count="1">
    <mergeCell ref="D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zoomScale="115" zoomScaleNormal="115" workbookViewId="0">
      <pane ySplit="2" topLeftCell="A3" activePane="bottomLeft" state="frozen"/>
      <selection pane="bottomLeft" activeCell="A32" sqref="A32:XFD32"/>
    </sheetView>
  </sheetViews>
  <sheetFormatPr defaultRowHeight="15" x14ac:dyDescent="0.25"/>
  <cols>
    <col min="1" max="1" width="21.7109375" customWidth="1"/>
    <col min="2" max="4" width="11.28515625" customWidth="1"/>
    <col min="5" max="5" width="15.28515625" customWidth="1"/>
    <col min="6" max="6" width="12.5703125" customWidth="1"/>
    <col min="7" max="7" width="13" customWidth="1"/>
    <col min="8" max="8" width="14.28515625" hidden="1" customWidth="1"/>
    <col min="9" max="9" width="12.85546875" customWidth="1"/>
    <col min="10" max="10" width="16" customWidth="1"/>
    <col min="11" max="12" width="13.140625" customWidth="1"/>
    <col min="13" max="13" width="11.140625" customWidth="1"/>
    <col min="14" max="14" width="12" customWidth="1"/>
    <col min="15" max="15" width="14.7109375" customWidth="1"/>
    <col min="16" max="16" width="13.140625" customWidth="1"/>
  </cols>
  <sheetData>
    <row r="1" spans="1:16" ht="47.25" x14ac:dyDescent="0.25">
      <c r="A1" s="224" t="s">
        <v>133</v>
      </c>
      <c r="B1" s="226" t="s">
        <v>134</v>
      </c>
      <c r="C1" s="110" t="s">
        <v>134</v>
      </c>
      <c r="D1" s="226" t="s">
        <v>135</v>
      </c>
      <c r="E1" s="110" t="s">
        <v>135</v>
      </c>
      <c r="F1" s="226" t="s">
        <v>136</v>
      </c>
      <c r="G1" s="111" t="s">
        <v>136</v>
      </c>
      <c r="H1" s="228" t="s">
        <v>156</v>
      </c>
      <c r="I1" s="222" t="s">
        <v>138</v>
      </c>
      <c r="J1" s="222" t="s">
        <v>139</v>
      </c>
      <c r="L1" s="229" t="s">
        <v>137</v>
      </c>
      <c r="M1" s="223" t="s">
        <v>140</v>
      </c>
      <c r="N1" s="223" t="s">
        <v>141</v>
      </c>
    </row>
    <row r="2" spans="1:16" ht="32.25" thickBot="1" x14ac:dyDescent="0.3">
      <c r="A2" s="225"/>
      <c r="B2" s="227"/>
      <c r="C2" s="112" t="s">
        <v>142</v>
      </c>
      <c r="D2" s="227"/>
      <c r="E2" s="112" t="s">
        <v>142</v>
      </c>
      <c r="F2" s="227"/>
      <c r="G2" s="113" t="s">
        <v>142</v>
      </c>
      <c r="H2" s="228"/>
      <c r="I2" s="222"/>
      <c r="J2" s="222"/>
      <c r="K2" s="132">
        <v>19250</v>
      </c>
      <c r="L2" s="229"/>
      <c r="M2" s="223"/>
      <c r="N2" s="223"/>
      <c r="O2" s="133">
        <v>19250</v>
      </c>
      <c r="P2" t="s">
        <v>143</v>
      </c>
    </row>
    <row r="3" spans="1:16" ht="16.5" thickBot="1" x14ac:dyDescent="0.3">
      <c r="A3" s="121" t="s">
        <v>78</v>
      </c>
      <c r="B3" s="122">
        <v>39</v>
      </c>
      <c r="C3" s="122">
        <v>243.5</v>
      </c>
      <c r="D3" s="122">
        <v>48</v>
      </c>
      <c r="E3" s="122">
        <v>292.2</v>
      </c>
      <c r="F3" s="122">
        <v>68</v>
      </c>
      <c r="G3" s="122">
        <v>411.9</v>
      </c>
      <c r="H3" s="123">
        <f t="shared" ref="H3:H27" si="0">AVERAGE(B3,D3,F3)</f>
        <v>51.666666666666664</v>
      </c>
      <c r="I3">
        <f t="shared" ref="I3:I27" si="1">SUM(B3,D3,F3)</f>
        <v>155</v>
      </c>
      <c r="J3" s="101">
        <f t="shared" ref="J3:J37" si="2">I3/$I$37</f>
        <v>3.1511110207566731E-3</v>
      </c>
      <c r="K3" s="118">
        <f t="shared" ref="K3:K36" si="3">J3*$K$2</f>
        <v>60.658887149565956</v>
      </c>
      <c r="L3" s="124">
        <f t="shared" ref="L3:L27" si="4">AVERAGE(C3,E3,G3)</f>
        <v>315.86666666666667</v>
      </c>
      <c r="M3">
        <v>4</v>
      </c>
      <c r="N3" s="101">
        <f t="shared" ref="N3:N36" si="5">M3/$M$37</f>
        <v>3.1496062992125984E-2</v>
      </c>
      <c r="O3" s="119">
        <f t="shared" ref="O3:O36" si="6">N3*$O$2</f>
        <v>606.29921259842524</v>
      </c>
      <c r="P3" s="120">
        <f t="shared" ref="P3:P36" si="7">SUM(K3,O3)</f>
        <v>666.95809974799124</v>
      </c>
    </row>
    <row r="4" spans="1:16" ht="16.5" thickBot="1" x14ac:dyDescent="0.3">
      <c r="A4" s="114" t="s">
        <v>79</v>
      </c>
      <c r="B4" s="115">
        <v>345</v>
      </c>
      <c r="C4" s="115">
        <v>398.4</v>
      </c>
      <c r="D4" s="115">
        <v>414</v>
      </c>
      <c r="E4" s="115">
        <v>460</v>
      </c>
      <c r="F4" s="115">
        <v>422</v>
      </c>
      <c r="G4" s="115">
        <v>462.1</v>
      </c>
      <c r="H4" s="116">
        <f t="shared" si="0"/>
        <v>393.66666666666669</v>
      </c>
      <c r="I4">
        <f t="shared" si="1"/>
        <v>1181</v>
      </c>
      <c r="J4" s="101">
        <f t="shared" si="2"/>
        <v>2.4009433003313749E-2</v>
      </c>
      <c r="K4" s="118">
        <f t="shared" si="3"/>
        <v>462.18158531378964</v>
      </c>
      <c r="L4" s="117">
        <f t="shared" si="4"/>
        <v>440.16666666666669</v>
      </c>
      <c r="M4">
        <v>5</v>
      </c>
      <c r="N4" s="101">
        <f t="shared" si="5"/>
        <v>3.937007874015748E-2</v>
      </c>
      <c r="O4" s="119">
        <f t="shared" si="6"/>
        <v>757.87401574803152</v>
      </c>
      <c r="P4" s="120">
        <f t="shared" si="7"/>
        <v>1220.0556010618211</v>
      </c>
    </row>
    <row r="5" spans="1:16" ht="16.5" thickBot="1" x14ac:dyDescent="0.3">
      <c r="A5" s="121" t="s">
        <v>80</v>
      </c>
      <c r="B5" s="122">
        <v>1052</v>
      </c>
      <c r="C5" s="122">
        <v>271</v>
      </c>
      <c r="D5" s="122">
        <v>1169</v>
      </c>
      <c r="E5" s="122">
        <v>294.2</v>
      </c>
      <c r="F5" s="122">
        <v>1243</v>
      </c>
      <c r="G5" s="122">
        <v>306.89999999999998</v>
      </c>
      <c r="H5" s="123">
        <f t="shared" si="0"/>
        <v>1154.6666666666667</v>
      </c>
      <c r="I5">
        <f t="shared" si="1"/>
        <v>3464</v>
      </c>
      <c r="J5" s="101">
        <f t="shared" si="2"/>
        <v>7.042224887678139E-2</v>
      </c>
      <c r="K5" s="118">
        <f t="shared" si="3"/>
        <v>1355.6282908780418</v>
      </c>
      <c r="L5" s="124">
        <f t="shared" si="4"/>
        <v>290.7</v>
      </c>
      <c r="M5">
        <v>3</v>
      </c>
      <c r="N5" s="101">
        <f t="shared" si="5"/>
        <v>2.3622047244094488E-2</v>
      </c>
      <c r="O5" s="119">
        <f t="shared" si="6"/>
        <v>454.7244094488189</v>
      </c>
      <c r="P5" s="120">
        <f t="shared" si="7"/>
        <v>1810.3527003268607</v>
      </c>
    </row>
    <row r="6" spans="1:16" ht="16.5" thickBot="1" x14ac:dyDescent="0.3">
      <c r="A6" s="114" t="s">
        <v>81</v>
      </c>
      <c r="B6" s="115">
        <v>127</v>
      </c>
      <c r="C6" s="115">
        <v>341</v>
      </c>
      <c r="D6" s="115">
        <v>111</v>
      </c>
      <c r="E6" s="115">
        <v>294</v>
      </c>
      <c r="F6" s="115">
        <v>118</v>
      </c>
      <c r="G6" s="115">
        <v>308.7</v>
      </c>
      <c r="H6" s="116">
        <f t="shared" si="0"/>
        <v>118.66666666666667</v>
      </c>
      <c r="I6">
        <f t="shared" si="1"/>
        <v>356</v>
      </c>
      <c r="J6" s="101">
        <f t="shared" si="2"/>
        <v>7.2373904734798428E-3</v>
      </c>
      <c r="K6" s="118">
        <f t="shared" si="3"/>
        <v>139.31976661448698</v>
      </c>
      <c r="L6" s="117">
        <f t="shared" si="4"/>
        <v>314.56666666666666</v>
      </c>
      <c r="M6">
        <v>4</v>
      </c>
      <c r="N6" s="101">
        <f t="shared" si="5"/>
        <v>3.1496062992125984E-2</v>
      </c>
      <c r="O6" s="119">
        <f t="shared" si="6"/>
        <v>606.29921259842524</v>
      </c>
      <c r="P6" s="120">
        <f t="shared" si="7"/>
        <v>745.61897921291222</v>
      </c>
    </row>
    <row r="7" spans="1:16" ht="16.5" thickBot="1" x14ac:dyDescent="0.3">
      <c r="A7" s="121" t="s">
        <v>82</v>
      </c>
      <c r="B7" s="122">
        <v>130</v>
      </c>
      <c r="C7" s="122">
        <v>263.5</v>
      </c>
      <c r="D7" s="122">
        <v>119</v>
      </c>
      <c r="E7" s="122">
        <v>236.2</v>
      </c>
      <c r="F7" s="122">
        <v>183</v>
      </c>
      <c r="G7" s="122">
        <v>360.3</v>
      </c>
      <c r="H7" s="123">
        <f t="shared" si="0"/>
        <v>144</v>
      </c>
      <c r="I7">
        <f t="shared" si="1"/>
        <v>432</v>
      </c>
      <c r="J7" s="101">
        <f t="shared" si="2"/>
        <v>8.7824513610766635E-3</v>
      </c>
      <c r="K7" s="118">
        <f t="shared" si="3"/>
        <v>169.06218870072578</v>
      </c>
      <c r="L7" s="124">
        <f t="shared" si="4"/>
        <v>286.66666666666669</v>
      </c>
      <c r="M7">
        <v>3</v>
      </c>
      <c r="N7" s="101">
        <f t="shared" si="5"/>
        <v>2.3622047244094488E-2</v>
      </c>
      <c r="O7" s="119">
        <f t="shared" si="6"/>
        <v>454.7244094488189</v>
      </c>
      <c r="P7" s="120">
        <f t="shared" si="7"/>
        <v>623.78659814954472</v>
      </c>
    </row>
    <row r="8" spans="1:16" ht="16.5" thickBot="1" x14ac:dyDescent="0.3">
      <c r="A8" s="114" t="s">
        <v>83</v>
      </c>
      <c r="B8" s="115">
        <v>201</v>
      </c>
      <c r="C8" s="115">
        <v>322.7</v>
      </c>
      <c r="D8" s="115">
        <v>142</v>
      </c>
      <c r="E8" s="115">
        <v>225.4</v>
      </c>
      <c r="F8" s="115">
        <v>150</v>
      </c>
      <c r="G8" s="115">
        <v>237.4</v>
      </c>
      <c r="H8" s="116">
        <f t="shared" si="0"/>
        <v>164.33333333333334</v>
      </c>
      <c r="I8">
        <f t="shared" si="1"/>
        <v>493</v>
      </c>
      <c r="J8" s="101">
        <f t="shared" si="2"/>
        <v>1.0022566020858322E-2</v>
      </c>
      <c r="K8" s="118">
        <f t="shared" si="3"/>
        <v>192.93439590152269</v>
      </c>
      <c r="L8" s="117">
        <f t="shared" si="4"/>
        <v>261.83333333333331</v>
      </c>
      <c r="M8">
        <v>3</v>
      </c>
      <c r="N8" s="101">
        <f t="shared" si="5"/>
        <v>2.3622047244094488E-2</v>
      </c>
      <c r="O8" s="119">
        <f t="shared" si="6"/>
        <v>454.7244094488189</v>
      </c>
      <c r="P8" s="120">
        <f t="shared" si="7"/>
        <v>647.65880535034159</v>
      </c>
    </row>
    <row r="9" spans="1:16" ht="16.5" thickBot="1" x14ac:dyDescent="0.3">
      <c r="A9" s="121" t="s">
        <v>84</v>
      </c>
      <c r="B9" s="122">
        <v>37</v>
      </c>
      <c r="C9" s="122">
        <v>177.8</v>
      </c>
      <c r="D9" s="122">
        <v>62</v>
      </c>
      <c r="E9" s="122">
        <v>294</v>
      </c>
      <c r="F9" s="122">
        <v>63</v>
      </c>
      <c r="G9" s="122">
        <v>291.89999999999998</v>
      </c>
      <c r="H9" s="123">
        <f t="shared" si="0"/>
        <v>54</v>
      </c>
      <c r="I9">
        <f t="shared" si="1"/>
        <v>162</v>
      </c>
      <c r="J9" s="101">
        <f t="shared" si="2"/>
        <v>3.2934192604037486E-3</v>
      </c>
      <c r="K9" s="118">
        <f t="shared" si="3"/>
        <v>63.398320762772158</v>
      </c>
      <c r="L9" s="124">
        <f t="shared" si="4"/>
        <v>254.56666666666669</v>
      </c>
      <c r="M9">
        <v>3</v>
      </c>
      <c r="N9" s="101">
        <f t="shared" si="5"/>
        <v>2.3622047244094488E-2</v>
      </c>
      <c r="O9" s="119">
        <f t="shared" si="6"/>
        <v>454.7244094488189</v>
      </c>
      <c r="P9" s="120">
        <f t="shared" si="7"/>
        <v>518.12273021159103</v>
      </c>
    </row>
    <row r="10" spans="1:16" ht="16.5" thickBot="1" x14ac:dyDescent="0.3">
      <c r="A10" s="114" t="s">
        <v>85</v>
      </c>
      <c r="B10" s="115">
        <v>30</v>
      </c>
      <c r="C10" s="115">
        <v>134.30000000000001</v>
      </c>
      <c r="D10" s="115">
        <v>52</v>
      </c>
      <c r="E10" s="115">
        <v>231.4</v>
      </c>
      <c r="F10" s="115">
        <v>37</v>
      </c>
      <c r="G10" s="115">
        <v>163.69999999999999</v>
      </c>
      <c r="H10" s="116">
        <f t="shared" si="0"/>
        <v>39.666666666666664</v>
      </c>
      <c r="I10">
        <f t="shared" si="1"/>
        <v>119</v>
      </c>
      <c r="J10" s="101">
        <f t="shared" si="2"/>
        <v>2.4192400740002847E-3</v>
      </c>
      <c r="K10" s="118">
        <f t="shared" si="3"/>
        <v>46.570371424505481</v>
      </c>
      <c r="L10" s="117">
        <f t="shared" si="4"/>
        <v>176.4666666666667</v>
      </c>
      <c r="M10">
        <v>2</v>
      </c>
      <c r="N10" s="101">
        <f t="shared" si="5"/>
        <v>1.5748031496062992E-2</v>
      </c>
      <c r="O10" s="119">
        <f t="shared" si="6"/>
        <v>303.14960629921262</v>
      </c>
      <c r="P10" s="120">
        <f t="shared" si="7"/>
        <v>349.7199777237181</v>
      </c>
    </row>
    <row r="11" spans="1:16" ht="16.5" thickBot="1" x14ac:dyDescent="0.3">
      <c r="A11" s="121" t="s">
        <v>86</v>
      </c>
      <c r="B11" s="122">
        <v>546</v>
      </c>
      <c r="C11" s="122">
        <v>329</v>
      </c>
      <c r="D11" s="122">
        <v>498</v>
      </c>
      <c r="E11" s="122">
        <v>291.7</v>
      </c>
      <c r="F11" s="122">
        <v>538</v>
      </c>
      <c r="G11" s="122">
        <v>304.60000000000002</v>
      </c>
      <c r="H11" s="123">
        <f t="shared" si="0"/>
        <v>527.33333333333337</v>
      </c>
      <c r="I11">
        <f t="shared" si="1"/>
        <v>1582</v>
      </c>
      <c r="J11" s="101">
        <f t="shared" si="2"/>
        <v>3.216166216023908E-2</v>
      </c>
      <c r="K11" s="118">
        <f t="shared" si="3"/>
        <v>619.11199658460225</v>
      </c>
      <c r="L11" s="124">
        <f t="shared" si="4"/>
        <v>308.43333333333334</v>
      </c>
      <c r="M11">
        <v>4</v>
      </c>
      <c r="N11" s="101">
        <f t="shared" si="5"/>
        <v>3.1496062992125984E-2</v>
      </c>
      <c r="O11" s="119">
        <f t="shared" si="6"/>
        <v>606.29921259842524</v>
      </c>
      <c r="P11" s="120">
        <f t="shared" si="7"/>
        <v>1225.4112091830275</v>
      </c>
    </row>
    <row r="12" spans="1:16" ht="16.5" thickBot="1" x14ac:dyDescent="0.3">
      <c r="A12" s="114" t="s">
        <v>87</v>
      </c>
      <c r="B12" s="115">
        <v>319</v>
      </c>
      <c r="C12" s="115">
        <v>298.3</v>
      </c>
      <c r="D12" s="115">
        <v>291</v>
      </c>
      <c r="E12" s="115">
        <v>264.8</v>
      </c>
      <c r="F12" s="115">
        <v>320</v>
      </c>
      <c r="G12" s="115">
        <v>289.89999999999998</v>
      </c>
      <c r="H12" s="116">
        <f t="shared" si="0"/>
        <v>310</v>
      </c>
      <c r="I12">
        <f t="shared" si="1"/>
        <v>930</v>
      </c>
      <c r="J12" s="101">
        <f t="shared" si="2"/>
        <v>1.8906666124540041E-2</v>
      </c>
      <c r="K12" s="118">
        <f t="shared" si="3"/>
        <v>363.95332289739576</v>
      </c>
      <c r="L12" s="117">
        <f t="shared" si="4"/>
        <v>284.33333333333331</v>
      </c>
      <c r="M12">
        <v>3</v>
      </c>
      <c r="N12" s="101">
        <f t="shared" si="5"/>
        <v>2.3622047244094488E-2</v>
      </c>
      <c r="O12" s="119">
        <f t="shared" si="6"/>
        <v>454.7244094488189</v>
      </c>
      <c r="P12" s="120">
        <f t="shared" si="7"/>
        <v>818.67773234621473</v>
      </c>
    </row>
    <row r="13" spans="1:16" ht="16.5" thickBot="1" x14ac:dyDescent="0.3">
      <c r="A13" s="114" t="s">
        <v>89</v>
      </c>
      <c r="B13" s="115">
        <v>4</v>
      </c>
      <c r="C13" s="115">
        <v>54.9</v>
      </c>
      <c r="D13" s="115">
        <v>8</v>
      </c>
      <c r="E13" s="115">
        <v>107.7</v>
      </c>
      <c r="F13" s="115">
        <v>6</v>
      </c>
      <c r="G13" s="115">
        <v>81</v>
      </c>
      <c r="H13" s="116">
        <f t="shared" si="0"/>
        <v>6</v>
      </c>
      <c r="I13">
        <f t="shared" si="1"/>
        <v>18</v>
      </c>
      <c r="J13" s="101">
        <f t="shared" si="2"/>
        <v>3.6593547337819429E-4</v>
      </c>
      <c r="K13" s="118">
        <f t="shared" si="3"/>
        <v>7.0442578625302401</v>
      </c>
      <c r="L13" s="117">
        <f t="shared" si="4"/>
        <v>81.2</v>
      </c>
      <c r="M13">
        <v>1</v>
      </c>
      <c r="N13" s="101">
        <f t="shared" si="5"/>
        <v>7.874015748031496E-3</v>
      </c>
      <c r="O13" s="119">
        <f t="shared" si="6"/>
        <v>151.57480314960631</v>
      </c>
      <c r="P13" s="120">
        <f t="shared" si="7"/>
        <v>158.61906101213654</v>
      </c>
    </row>
    <row r="14" spans="1:16" ht="16.5" thickBot="1" x14ac:dyDescent="0.3">
      <c r="A14" s="121" t="s">
        <v>90</v>
      </c>
      <c r="B14" s="122">
        <v>23</v>
      </c>
      <c r="C14" s="122">
        <v>321.89999999999998</v>
      </c>
      <c r="D14" s="122">
        <v>23</v>
      </c>
      <c r="E14" s="122">
        <v>315.3</v>
      </c>
      <c r="F14" s="122">
        <v>17</v>
      </c>
      <c r="G14" s="122">
        <v>232.2</v>
      </c>
      <c r="H14" s="123">
        <f t="shared" si="0"/>
        <v>21</v>
      </c>
      <c r="I14">
        <f t="shared" si="1"/>
        <v>63</v>
      </c>
      <c r="J14" s="101">
        <f t="shared" si="2"/>
        <v>1.2807741568236801E-3</v>
      </c>
      <c r="K14" s="118">
        <f t="shared" si="3"/>
        <v>24.654902518855842</v>
      </c>
      <c r="L14" s="124">
        <f t="shared" si="4"/>
        <v>289.8</v>
      </c>
      <c r="M14">
        <v>3</v>
      </c>
      <c r="N14" s="101">
        <f t="shared" si="5"/>
        <v>2.3622047244094488E-2</v>
      </c>
      <c r="O14" s="119">
        <f t="shared" si="6"/>
        <v>454.7244094488189</v>
      </c>
      <c r="P14" s="120">
        <f t="shared" si="7"/>
        <v>479.37931196767477</v>
      </c>
    </row>
    <row r="15" spans="1:16" ht="16.5" thickBot="1" x14ac:dyDescent="0.3">
      <c r="A15" s="114" t="s">
        <v>91</v>
      </c>
      <c r="B15" s="115">
        <v>59</v>
      </c>
      <c r="C15" s="115">
        <v>260.2</v>
      </c>
      <c r="D15" s="115">
        <v>78</v>
      </c>
      <c r="E15" s="115">
        <v>321.7</v>
      </c>
      <c r="F15" s="115">
        <v>88</v>
      </c>
      <c r="G15" s="115">
        <v>355.8</v>
      </c>
      <c r="H15" s="116">
        <f t="shared" si="0"/>
        <v>75</v>
      </c>
      <c r="I15">
        <f t="shared" si="1"/>
        <v>225</v>
      </c>
      <c r="J15" s="101">
        <f t="shared" si="2"/>
        <v>4.5741934172274287E-3</v>
      </c>
      <c r="K15" s="118">
        <f t="shared" si="3"/>
        <v>88.053223281628007</v>
      </c>
      <c r="L15" s="117">
        <f t="shared" si="4"/>
        <v>312.56666666666666</v>
      </c>
      <c r="M15">
        <v>4</v>
      </c>
      <c r="N15" s="101">
        <f t="shared" si="5"/>
        <v>3.1496062992125984E-2</v>
      </c>
      <c r="O15" s="119">
        <f t="shared" si="6"/>
        <v>606.29921259842524</v>
      </c>
      <c r="P15" s="120">
        <f t="shared" si="7"/>
        <v>694.35243588005324</v>
      </c>
    </row>
    <row r="16" spans="1:16" ht="16.5" thickBot="1" x14ac:dyDescent="0.3">
      <c r="A16" s="121" t="s">
        <v>92</v>
      </c>
      <c r="B16" s="122">
        <v>640</v>
      </c>
      <c r="C16" s="122">
        <v>306.89999999999998</v>
      </c>
      <c r="D16" s="122">
        <v>697</v>
      </c>
      <c r="E16" s="122">
        <v>330.4</v>
      </c>
      <c r="F16" s="122">
        <v>755</v>
      </c>
      <c r="G16" s="122">
        <v>353.2</v>
      </c>
      <c r="H16" s="123">
        <f t="shared" si="0"/>
        <v>697.33333333333337</v>
      </c>
      <c r="I16">
        <f t="shared" si="1"/>
        <v>2092</v>
      </c>
      <c r="J16" s="101">
        <f t="shared" si="2"/>
        <v>4.2529833905954585E-2</v>
      </c>
      <c r="K16" s="118">
        <f t="shared" si="3"/>
        <v>818.69930268962571</v>
      </c>
      <c r="L16" s="124">
        <f t="shared" si="4"/>
        <v>330.16666666666669</v>
      </c>
      <c r="M16">
        <v>4</v>
      </c>
      <c r="N16" s="101">
        <f t="shared" si="5"/>
        <v>3.1496062992125984E-2</v>
      </c>
      <c r="O16" s="119">
        <f t="shared" si="6"/>
        <v>606.29921259842524</v>
      </c>
      <c r="P16" s="120">
        <f t="shared" si="7"/>
        <v>1424.9985152880508</v>
      </c>
    </row>
    <row r="17" spans="1:16" ht="16.5" thickBot="1" x14ac:dyDescent="0.3">
      <c r="A17" s="114" t="s">
        <v>93</v>
      </c>
      <c r="B17" s="115">
        <v>138</v>
      </c>
      <c r="C17" s="115">
        <v>652.6</v>
      </c>
      <c r="D17" s="115">
        <v>135</v>
      </c>
      <c r="E17" s="115">
        <v>601.5</v>
      </c>
      <c r="F17" s="115">
        <v>164</v>
      </c>
      <c r="G17" s="115">
        <v>719.6</v>
      </c>
      <c r="H17" s="116">
        <f t="shared" si="0"/>
        <v>145.66666666666666</v>
      </c>
      <c r="I17">
        <f t="shared" si="1"/>
        <v>437</v>
      </c>
      <c r="J17" s="101">
        <f t="shared" si="2"/>
        <v>8.8841001036817167E-3</v>
      </c>
      <c r="K17" s="118">
        <f t="shared" si="3"/>
        <v>171.01892699587304</v>
      </c>
      <c r="L17" s="117">
        <f t="shared" si="4"/>
        <v>657.9</v>
      </c>
      <c r="M17">
        <v>7</v>
      </c>
      <c r="N17" s="101">
        <f t="shared" si="5"/>
        <v>5.5118110236220472E-2</v>
      </c>
      <c r="O17" s="119">
        <f t="shared" si="6"/>
        <v>1061.0236220472441</v>
      </c>
      <c r="P17" s="120">
        <f t="shared" si="7"/>
        <v>1232.0425490431171</v>
      </c>
    </row>
    <row r="18" spans="1:16" ht="16.5" thickBot="1" x14ac:dyDescent="0.3">
      <c r="A18" s="121" t="s">
        <v>94</v>
      </c>
      <c r="B18" s="122">
        <v>221</v>
      </c>
      <c r="C18" s="122">
        <v>265.3</v>
      </c>
      <c r="D18" s="122">
        <v>255</v>
      </c>
      <c r="E18" s="122">
        <v>304.60000000000002</v>
      </c>
      <c r="F18" s="122">
        <v>315</v>
      </c>
      <c r="G18" s="122">
        <v>372</v>
      </c>
      <c r="H18" s="123">
        <f t="shared" si="0"/>
        <v>263.66666666666669</v>
      </c>
      <c r="I18">
        <f t="shared" si="1"/>
        <v>791</v>
      </c>
      <c r="J18" s="101">
        <f t="shared" si="2"/>
        <v>1.608083108011954E-2</v>
      </c>
      <c r="K18" s="118">
        <f t="shared" si="3"/>
        <v>309.55599829230113</v>
      </c>
      <c r="L18" s="124">
        <f t="shared" si="4"/>
        <v>313.9666666666667</v>
      </c>
      <c r="M18">
        <v>4</v>
      </c>
      <c r="N18" s="101">
        <f t="shared" si="5"/>
        <v>3.1496062992125984E-2</v>
      </c>
      <c r="O18" s="119">
        <f t="shared" si="6"/>
        <v>606.29921259842524</v>
      </c>
      <c r="P18" s="120">
        <f t="shared" si="7"/>
        <v>915.85521089072631</v>
      </c>
    </row>
    <row r="19" spans="1:16" ht="16.5" thickBot="1" x14ac:dyDescent="0.3">
      <c r="A19" s="114" t="s">
        <v>95</v>
      </c>
      <c r="B19" s="115">
        <v>282</v>
      </c>
      <c r="C19" s="115">
        <v>427.9</v>
      </c>
      <c r="D19" s="115">
        <v>297</v>
      </c>
      <c r="E19" s="115">
        <v>442.6</v>
      </c>
      <c r="F19" s="115">
        <v>268</v>
      </c>
      <c r="G19" s="115">
        <v>397.6</v>
      </c>
      <c r="H19" s="116">
        <f t="shared" si="0"/>
        <v>282.33333333333331</v>
      </c>
      <c r="I19">
        <f t="shared" si="1"/>
        <v>847</v>
      </c>
      <c r="J19" s="101">
        <f t="shared" si="2"/>
        <v>1.7219296997296143E-2</v>
      </c>
      <c r="K19" s="118">
        <f t="shared" si="3"/>
        <v>331.47146719795074</v>
      </c>
      <c r="L19" s="117">
        <f t="shared" si="4"/>
        <v>422.7</v>
      </c>
      <c r="M19">
        <v>5</v>
      </c>
      <c r="N19" s="101">
        <f t="shared" si="5"/>
        <v>3.937007874015748E-2</v>
      </c>
      <c r="O19" s="119">
        <f t="shared" si="6"/>
        <v>757.87401574803152</v>
      </c>
      <c r="P19" s="120">
        <f t="shared" si="7"/>
        <v>1089.3454829459822</v>
      </c>
    </row>
    <row r="20" spans="1:16" ht="16.5" thickBot="1" x14ac:dyDescent="0.3">
      <c r="A20" s="121" t="s">
        <v>96</v>
      </c>
      <c r="B20" s="122">
        <v>24</v>
      </c>
      <c r="C20" s="122">
        <v>306.89999999999998</v>
      </c>
      <c r="D20" s="122">
        <v>20</v>
      </c>
      <c r="E20" s="122">
        <v>249.7</v>
      </c>
      <c r="F20" s="122">
        <v>17</v>
      </c>
      <c r="G20" s="122">
        <v>212.1</v>
      </c>
      <c r="H20" s="123">
        <f t="shared" si="0"/>
        <v>20.333333333333332</v>
      </c>
      <c r="I20">
        <f t="shared" si="1"/>
        <v>61</v>
      </c>
      <c r="J20" s="101">
        <f t="shared" si="2"/>
        <v>1.2401146597816584E-3</v>
      </c>
      <c r="K20" s="118">
        <f t="shared" si="3"/>
        <v>23.872207200796925</v>
      </c>
      <c r="L20" s="124">
        <f t="shared" si="4"/>
        <v>256.23333333333329</v>
      </c>
      <c r="M20">
        <v>3</v>
      </c>
      <c r="N20" s="101">
        <f t="shared" si="5"/>
        <v>2.3622047244094488E-2</v>
      </c>
      <c r="O20" s="119">
        <f t="shared" si="6"/>
        <v>454.7244094488189</v>
      </c>
      <c r="P20" s="120">
        <f t="shared" si="7"/>
        <v>478.59661664961584</v>
      </c>
    </row>
    <row r="21" spans="1:16" ht="16.5" thickBot="1" x14ac:dyDescent="0.3">
      <c r="A21" s="114" t="s">
        <v>97</v>
      </c>
      <c r="B21" s="115">
        <v>1546</v>
      </c>
      <c r="C21" s="115">
        <v>434</v>
      </c>
      <c r="D21" s="115">
        <v>1658</v>
      </c>
      <c r="E21" s="115">
        <v>457.8</v>
      </c>
      <c r="F21" s="115">
        <v>1621</v>
      </c>
      <c r="G21" s="115">
        <v>443</v>
      </c>
      <c r="H21" s="116">
        <f t="shared" si="0"/>
        <v>1608.3333333333333</v>
      </c>
      <c r="I21">
        <f t="shared" si="1"/>
        <v>4825</v>
      </c>
      <c r="J21" s="101">
        <f t="shared" si="2"/>
        <v>9.8091036613877081E-2</v>
      </c>
      <c r="K21" s="118">
        <f t="shared" si="3"/>
        <v>1888.2524548171339</v>
      </c>
      <c r="L21" s="117">
        <f t="shared" si="4"/>
        <v>444.93333333333334</v>
      </c>
      <c r="M21">
        <v>5</v>
      </c>
      <c r="N21" s="101">
        <f t="shared" si="5"/>
        <v>3.937007874015748E-2</v>
      </c>
      <c r="O21" s="119">
        <f t="shared" si="6"/>
        <v>757.87401574803152</v>
      </c>
      <c r="P21" s="120">
        <f t="shared" si="7"/>
        <v>2646.1264705651656</v>
      </c>
    </row>
    <row r="22" spans="1:16" ht="16.5" thickBot="1" x14ac:dyDescent="0.3">
      <c r="A22" s="121" t="s">
        <v>98</v>
      </c>
      <c r="B22" s="122">
        <v>109</v>
      </c>
      <c r="C22" s="122">
        <v>235.2</v>
      </c>
      <c r="D22" s="122">
        <v>135</v>
      </c>
      <c r="E22" s="122">
        <v>285.89999999999998</v>
      </c>
      <c r="F22" s="122">
        <v>159</v>
      </c>
      <c r="G22" s="122">
        <v>333.1</v>
      </c>
      <c r="H22" s="123">
        <f t="shared" si="0"/>
        <v>134.33333333333334</v>
      </c>
      <c r="I22">
        <f t="shared" si="1"/>
        <v>403</v>
      </c>
      <c r="J22" s="101">
        <f t="shared" si="2"/>
        <v>8.1928886539673496E-3</v>
      </c>
      <c r="K22" s="118">
        <f t="shared" si="3"/>
        <v>157.71310658887148</v>
      </c>
      <c r="L22" s="124">
        <f t="shared" si="4"/>
        <v>284.73333333333329</v>
      </c>
      <c r="M22">
        <v>3</v>
      </c>
      <c r="N22" s="101">
        <f t="shared" si="5"/>
        <v>2.3622047244094488E-2</v>
      </c>
      <c r="O22" s="119">
        <f t="shared" si="6"/>
        <v>454.7244094488189</v>
      </c>
      <c r="P22" s="120">
        <f t="shared" si="7"/>
        <v>612.43751603769033</v>
      </c>
    </row>
    <row r="23" spans="1:16" ht="16.5" thickBot="1" x14ac:dyDescent="0.3">
      <c r="A23" s="114" t="s">
        <v>99</v>
      </c>
      <c r="B23" s="115">
        <v>411</v>
      </c>
      <c r="C23" s="115">
        <v>346.1</v>
      </c>
      <c r="D23" s="115">
        <v>441</v>
      </c>
      <c r="E23" s="115">
        <v>364.9</v>
      </c>
      <c r="F23" s="115">
        <v>457</v>
      </c>
      <c r="G23" s="115">
        <v>373.6</v>
      </c>
      <c r="H23" s="116">
        <f t="shared" si="0"/>
        <v>436.33333333333331</v>
      </c>
      <c r="I23">
        <f t="shared" si="1"/>
        <v>1309</v>
      </c>
      <c r="J23" s="101">
        <f t="shared" si="2"/>
        <v>2.6611640814003131E-2</v>
      </c>
      <c r="K23" s="118">
        <f t="shared" si="3"/>
        <v>512.27408566956024</v>
      </c>
      <c r="L23" s="117">
        <f t="shared" si="4"/>
        <v>361.5333333333333</v>
      </c>
      <c r="M23">
        <v>4</v>
      </c>
      <c r="N23" s="101">
        <f t="shared" si="5"/>
        <v>3.1496062992125984E-2</v>
      </c>
      <c r="O23" s="119">
        <f t="shared" si="6"/>
        <v>606.29921259842524</v>
      </c>
      <c r="P23" s="120">
        <f t="shared" si="7"/>
        <v>1118.5732982679856</v>
      </c>
    </row>
    <row r="24" spans="1:16" ht="16.5" thickBot="1" x14ac:dyDescent="0.3">
      <c r="A24" s="121" t="s">
        <v>100</v>
      </c>
      <c r="B24" s="122">
        <v>102</v>
      </c>
      <c r="C24" s="122">
        <v>334.7</v>
      </c>
      <c r="D24" s="122">
        <v>120</v>
      </c>
      <c r="E24" s="122">
        <v>381.2</v>
      </c>
      <c r="F24" s="122">
        <v>146</v>
      </c>
      <c r="G24" s="122">
        <v>460.5</v>
      </c>
      <c r="H24" s="123">
        <f t="shared" si="0"/>
        <v>122.66666666666667</v>
      </c>
      <c r="I24">
        <f t="shared" si="1"/>
        <v>368</v>
      </c>
      <c r="J24" s="101">
        <f t="shared" si="2"/>
        <v>7.4813474557319723E-3</v>
      </c>
      <c r="K24" s="118">
        <f t="shared" si="3"/>
        <v>144.01593852284046</v>
      </c>
      <c r="L24" s="124">
        <f t="shared" si="4"/>
        <v>392.13333333333338</v>
      </c>
      <c r="M24">
        <v>4</v>
      </c>
      <c r="N24" s="101">
        <f t="shared" si="5"/>
        <v>3.1496062992125984E-2</v>
      </c>
      <c r="O24" s="119">
        <f t="shared" si="6"/>
        <v>606.29921259842524</v>
      </c>
      <c r="P24" s="120">
        <f t="shared" si="7"/>
        <v>750.31515112126567</v>
      </c>
    </row>
    <row r="25" spans="1:16" ht="16.5" thickBot="1" x14ac:dyDescent="0.3">
      <c r="A25" s="114" t="s">
        <v>101</v>
      </c>
      <c r="B25" s="115">
        <v>1590</v>
      </c>
      <c r="C25" s="115">
        <v>491.3</v>
      </c>
      <c r="D25" s="115">
        <v>1715</v>
      </c>
      <c r="E25" s="115">
        <v>520.1</v>
      </c>
      <c r="F25" s="115">
        <v>1718</v>
      </c>
      <c r="G25" s="115">
        <v>514.4</v>
      </c>
      <c r="H25" s="116">
        <f t="shared" si="0"/>
        <v>1674.3333333333333</v>
      </c>
      <c r="I25">
        <f t="shared" si="1"/>
        <v>5023</v>
      </c>
      <c r="J25" s="101">
        <f t="shared" si="2"/>
        <v>0.10211632682103722</v>
      </c>
      <c r="K25" s="118">
        <f t="shared" si="3"/>
        <v>1965.7392913049664</v>
      </c>
      <c r="L25" s="117">
        <f t="shared" si="4"/>
        <v>508.60000000000008</v>
      </c>
      <c r="M25">
        <v>6</v>
      </c>
      <c r="N25" s="101">
        <f t="shared" si="5"/>
        <v>4.7244094488188976E-2</v>
      </c>
      <c r="O25" s="119">
        <f t="shared" si="6"/>
        <v>909.44881889763781</v>
      </c>
      <c r="P25" s="120">
        <f t="shared" si="7"/>
        <v>2875.1881102026041</v>
      </c>
    </row>
    <row r="26" spans="1:16" ht="16.5" thickBot="1" x14ac:dyDescent="0.3">
      <c r="A26" s="121" t="s">
        <v>102</v>
      </c>
      <c r="B26" s="122">
        <v>29</v>
      </c>
      <c r="C26" s="122">
        <v>255.8</v>
      </c>
      <c r="D26" s="122">
        <v>37</v>
      </c>
      <c r="E26" s="122">
        <v>318.10000000000002</v>
      </c>
      <c r="F26" s="122">
        <v>35</v>
      </c>
      <c r="G26" s="122">
        <v>298</v>
      </c>
      <c r="H26" s="123">
        <f t="shared" si="0"/>
        <v>33.666666666666664</v>
      </c>
      <c r="I26">
        <f t="shared" si="1"/>
        <v>101</v>
      </c>
      <c r="J26" s="101">
        <f t="shared" si="2"/>
        <v>2.0533046006220904E-3</v>
      </c>
      <c r="K26" s="118">
        <f t="shared" si="3"/>
        <v>39.526113561975244</v>
      </c>
      <c r="L26" s="124">
        <f t="shared" si="4"/>
        <v>290.63333333333338</v>
      </c>
      <c r="M26">
        <v>3</v>
      </c>
      <c r="N26" s="101">
        <f t="shared" si="5"/>
        <v>2.3622047244094488E-2</v>
      </c>
      <c r="O26" s="119">
        <f t="shared" si="6"/>
        <v>454.7244094488189</v>
      </c>
      <c r="P26" s="120">
        <f t="shared" si="7"/>
        <v>494.25052301079415</v>
      </c>
    </row>
    <row r="27" spans="1:16" ht="16.5" thickBot="1" x14ac:dyDescent="0.3">
      <c r="A27" s="114" t="s">
        <v>103</v>
      </c>
      <c r="B27" s="115">
        <v>4196</v>
      </c>
      <c r="C27" s="115">
        <v>547.70000000000005</v>
      </c>
      <c r="D27" s="115">
        <v>4678</v>
      </c>
      <c r="E27" s="115">
        <v>601.70000000000005</v>
      </c>
      <c r="F27" s="115">
        <v>5046</v>
      </c>
      <c r="G27" s="115">
        <v>638.20000000000005</v>
      </c>
      <c r="H27" s="116">
        <f t="shared" si="0"/>
        <v>4640</v>
      </c>
      <c r="I27">
        <f t="shared" si="1"/>
        <v>13920</v>
      </c>
      <c r="J27" s="101">
        <f t="shared" si="2"/>
        <v>0.28299009941247028</v>
      </c>
      <c r="K27" s="118">
        <f t="shared" si="3"/>
        <v>5447.5594136900527</v>
      </c>
      <c r="L27" s="117">
        <f t="shared" si="4"/>
        <v>595.86666666666667</v>
      </c>
      <c r="M27">
        <v>6</v>
      </c>
      <c r="N27" s="101">
        <f t="shared" si="5"/>
        <v>4.7244094488188976E-2</v>
      </c>
      <c r="O27" s="119">
        <f t="shared" si="6"/>
        <v>909.44881889763781</v>
      </c>
      <c r="P27" s="120">
        <f t="shared" si="7"/>
        <v>6357.0082325876901</v>
      </c>
    </row>
    <row r="28" spans="1:16" ht="15.75" x14ac:dyDescent="0.25">
      <c r="A28" s="127" t="s">
        <v>15</v>
      </c>
      <c r="B28" s="128">
        <v>120</v>
      </c>
      <c r="C28" s="129">
        <v>398.20806371329019</v>
      </c>
      <c r="D28" s="128">
        <v>110</v>
      </c>
      <c r="E28" s="129">
        <v>365.02405840384932</v>
      </c>
      <c r="F28" s="128">
        <v>102</v>
      </c>
      <c r="G28" s="129">
        <v>338.47685415629667</v>
      </c>
      <c r="H28" s="130">
        <v>110.66666666666666</v>
      </c>
      <c r="I28" s="108">
        <v>332</v>
      </c>
      <c r="J28" s="101">
        <f t="shared" si="2"/>
        <v>6.7494765089755838E-3</v>
      </c>
      <c r="K28" s="118">
        <f t="shared" si="3"/>
        <v>129.92742279778</v>
      </c>
      <c r="L28" s="129">
        <v>367.23632542447871</v>
      </c>
      <c r="M28">
        <v>4</v>
      </c>
      <c r="N28" s="101">
        <f t="shared" si="5"/>
        <v>3.1496062992125984E-2</v>
      </c>
      <c r="O28" s="119">
        <f t="shared" si="6"/>
        <v>606.29921259842524</v>
      </c>
      <c r="P28" s="120">
        <f t="shared" si="7"/>
        <v>736.22663539620521</v>
      </c>
    </row>
    <row r="29" spans="1:16" ht="16.5" thickBot="1" x14ac:dyDescent="0.3">
      <c r="A29" s="121" t="s">
        <v>104</v>
      </c>
      <c r="B29" s="122">
        <v>292</v>
      </c>
      <c r="C29" s="122">
        <v>380.2</v>
      </c>
      <c r="D29" s="122">
        <v>275</v>
      </c>
      <c r="E29" s="122">
        <v>350</v>
      </c>
      <c r="F29" s="122">
        <v>281</v>
      </c>
      <c r="G29" s="122">
        <v>352.4</v>
      </c>
      <c r="H29" s="123">
        <f t="shared" ref="H29:H36" si="8">AVERAGE(B29,D29,F29)</f>
        <v>282.66666666666669</v>
      </c>
      <c r="I29">
        <f t="shared" ref="I29:I36" si="9">SUM(B29,D29,F29)</f>
        <v>848</v>
      </c>
      <c r="J29" s="101">
        <f t="shared" si="2"/>
        <v>1.7239626745817156E-2</v>
      </c>
      <c r="K29" s="118">
        <f t="shared" si="3"/>
        <v>331.86281485698026</v>
      </c>
      <c r="L29" s="124">
        <f t="shared" ref="L29:L36" si="10">AVERAGE(C29,E29,G29)</f>
        <v>360.86666666666662</v>
      </c>
      <c r="M29">
        <v>4</v>
      </c>
      <c r="N29" s="101">
        <f t="shared" si="5"/>
        <v>3.1496062992125984E-2</v>
      </c>
      <c r="O29" s="119">
        <f t="shared" si="6"/>
        <v>606.29921259842524</v>
      </c>
      <c r="P29" s="120">
        <f t="shared" si="7"/>
        <v>938.16202745540545</v>
      </c>
    </row>
    <row r="30" spans="1:16" ht="16.5" thickBot="1" x14ac:dyDescent="0.3">
      <c r="A30" s="121" t="s">
        <v>106</v>
      </c>
      <c r="B30" s="122">
        <v>51</v>
      </c>
      <c r="C30" s="122">
        <v>201.4</v>
      </c>
      <c r="D30" s="122">
        <v>53</v>
      </c>
      <c r="E30" s="122">
        <v>206.3</v>
      </c>
      <c r="F30" s="122">
        <v>39</v>
      </c>
      <c r="G30" s="122">
        <v>150.5</v>
      </c>
      <c r="H30" s="123">
        <f t="shared" si="8"/>
        <v>47.666666666666664</v>
      </c>
      <c r="I30">
        <f t="shared" si="9"/>
        <v>143</v>
      </c>
      <c r="J30" s="101">
        <f t="shared" si="2"/>
        <v>2.9071540385045436E-3</v>
      </c>
      <c r="K30" s="118">
        <f t="shared" si="3"/>
        <v>55.962715241212464</v>
      </c>
      <c r="L30" s="124">
        <f t="shared" si="10"/>
        <v>186.06666666666669</v>
      </c>
      <c r="M30">
        <v>2</v>
      </c>
      <c r="N30" s="101">
        <f t="shared" si="5"/>
        <v>1.5748031496062992E-2</v>
      </c>
      <c r="O30" s="119">
        <f t="shared" si="6"/>
        <v>303.14960629921262</v>
      </c>
      <c r="P30" s="120">
        <f t="shared" si="7"/>
        <v>359.11232154042511</v>
      </c>
    </row>
    <row r="31" spans="1:16" ht="16.5" thickBot="1" x14ac:dyDescent="0.3">
      <c r="A31" s="114" t="s">
        <v>107</v>
      </c>
      <c r="B31" s="115">
        <v>322</v>
      </c>
      <c r="C31" s="115">
        <v>419.7</v>
      </c>
      <c r="D31" s="115">
        <v>283</v>
      </c>
      <c r="E31" s="115">
        <v>357.5</v>
      </c>
      <c r="F31" s="115">
        <v>302</v>
      </c>
      <c r="G31" s="115">
        <v>378.1</v>
      </c>
      <c r="H31" s="116">
        <f t="shared" si="8"/>
        <v>302.33333333333331</v>
      </c>
      <c r="I31">
        <f t="shared" si="9"/>
        <v>907</v>
      </c>
      <c r="J31" s="101">
        <f t="shared" si="2"/>
        <v>1.8439081908556792E-2</v>
      </c>
      <c r="K31" s="118">
        <f t="shared" si="3"/>
        <v>354.95232673971822</v>
      </c>
      <c r="L31" s="117">
        <f t="shared" si="10"/>
        <v>385.10000000000008</v>
      </c>
      <c r="M31">
        <v>4</v>
      </c>
      <c r="N31" s="101">
        <f t="shared" si="5"/>
        <v>3.1496062992125984E-2</v>
      </c>
      <c r="O31" s="119">
        <f t="shared" si="6"/>
        <v>606.29921259842524</v>
      </c>
      <c r="P31" s="120">
        <f t="shared" si="7"/>
        <v>961.2515393381434</v>
      </c>
    </row>
    <row r="32" spans="1:16" ht="16.5" thickBot="1" x14ac:dyDescent="0.3">
      <c r="A32" s="121" t="s">
        <v>108</v>
      </c>
      <c r="B32" s="122">
        <v>86</v>
      </c>
      <c r="C32" s="122">
        <v>335.3</v>
      </c>
      <c r="D32" s="122">
        <v>122</v>
      </c>
      <c r="E32" s="122">
        <v>458.2</v>
      </c>
      <c r="F32" s="122">
        <v>112</v>
      </c>
      <c r="G32" s="122">
        <v>418.8</v>
      </c>
      <c r="H32" s="123">
        <f t="shared" si="8"/>
        <v>106.66666666666667</v>
      </c>
      <c r="I32">
        <f t="shared" si="9"/>
        <v>320</v>
      </c>
      <c r="J32" s="101">
        <f t="shared" si="2"/>
        <v>6.5055195267234543E-3</v>
      </c>
      <c r="K32" s="118">
        <f t="shared" si="3"/>
        <v>125.23125088942649</v>
      </c>
      <c r="L32" s="124">
        <f t="shared" si="10"/>
        <v>404.09999999999997</v>
      </c>
      <c r="M32">
        <v>5</v>
      </c>
      <c r="N32" s="101">
        <f t="shared" si="5"/>
        <v>3.937007874015748E-2</v>
      </c>
      <c r="O32" s="119">
        <f t="shared" si="6"/>
        <v>757.87401574803152</v>
      </c>
      <c r="P32" s="120">
        <f t="shared" si="7"/>
        <v>883.10526663745804</v>
      </c>
    </row>
    <row r="33" spans="1:16" ht="16.5" thickBot="1" x14ac:dyDescent="0.3">
      <c r="A33" s="114" t="s">
        <v>109</v>
      </c>
      <c r="B33" s="115">
        <v>14</v>
      </c>
      <c r="C33" s="115">
        <v>205.5</v>
      </c>
      <c r="D33" s="115">
        <v>8</v>
      </c>
      <c r="E33" s="115">
        <v>112.7</v>
      </c>
      <c r="F33" s="115">
        <v>13</v>
      </c>
      <c r="G33" s="115">
        <v>182.1</v>
      </c>
      <c r="H33" s="116">
        <f t="shared" si="8"/>
        <v>11.666666666666666</v>
      </c>
      <c r="I33">
        <f t="shared" si="9"/>
        <v>35</v>
      </c>
      <c r="J33" s="101">
        <f t="shared" si="2"/>
        <v>7.1154119823537787E-4</v>
      </c>
      <c r="K33" s="118">
        <f t="shared" si="3"/>
        <v>13.697168066031024</v>
      </c>
      <c r="L33" s="117">
        <f t="shared" si="10"/>
        <v>166.76666666666665</v>
      </c>
      <c r="M33">
        <v>2</v>
      </c>
      <c r="N33" s="101">
        <f t="shared" si="5"/>
        <v>1.5748031496062992E-2</v>
      </c>
      <c r="O33" s="119">
        <f t="shared" si="6"/>
        <v>303.14960629921262</v>
      </c>
      <c r="P33" s="120">
        <f t="shared" si="7"/>
        <v>316.84677436524362</v>
      </c>
    </row>
    <row r="34" spans="1:16" ht="16.5" thickBot="1" x14ac:dyDescent="0.3">
      <c r="A34" s="114" t="s">
        <v>111</v>
      </c>
      <c r="B34" s="115">
        <v>1975</v>
      </c>
      <c r="C34" s="115">
        <v>355.9</v>
      </c>
      <c r="D34" s="115">
        <v>2031</v>
      </c>
      <c r="E34" s="115">
        <v>356</v>
      </c>
      <c r="F34" s="115">
        <v>2255</v>
      </c>
      <c r="G34" s="115">
        <v>386.4</v>
      </c>
      <c r="H34" s="116">
        <f t="shared" si="8"/>
        <v>2087</v>
      </c>
      <c r="I34">
        <f t="shared" si="9"/>
        <v>6261</v>
      </c>
      <c r="J34" s="101">
        <f t="shared" si="2"/>
        <v>0.12728455549004858</v>
      </c>
      <c r="K34" s="118">
        <f t="shared" si="3"/>
        <v>2450.2276931834353</v>
      </c>
      <c r="L34" s="117">
        <f t="shared" si="10"/>
        <v>366.09999999999997</v>
      </c>
      <c r="M34">
        <v>4</v>
      </c>
      <c r="N34" s="101">
        <f t="shared" si="5"/>
        <v>3.1496062992125984E-2</v>
      </c>
      <c r="O34" s="119">
        <f t="shared" si="6"/>
        <v>606.29921259842524</v>
      </c>
      <c r="P34" s="120">
        <f t="shared" si="7"/>
        <v>3056.5269057818605</v>
      </c>
    </row>
    <row r="35" spans="1:16" ht="16.5" thickBot="1" x14ac:dyDescent="0.3">
      <c r="A35" s="121" t="s">
        <v>112</v>
      </c>
      <c r="B35" s="122">
        <v>3</v>
      </c>
      <c r="C35" s="122">
        <v>217.2</v>
      </c>
      <c r="D35" s="122">
        <v>3</v>
      </c>
      <c r="E35" s="122">
        <v>207.6</v>
      </c>
      <c r="F35" s="122">
        <v>0</v>
      </c>
      <c r="G35" s="122">
        <v>0</v>
      </c>
      <c r="H35" s="123">
        <f t="shared" si="8"/>
        <v>2</v>
      </c>
      <c r="I35">
        <f t="shared" si="9"/>
        <v>6</v>
      </c>
      <c r="J35" s="101">
        <f t="shared" si="2"/>
        <v>1.2197849112606477E-4</v>
      </c>
      <c r="K35" s="118">
        <f t="shared" si="3"/>
        <v>2.3480859541767467</v>
      </c>
      <c r="L35" s="124">
        <f t="shared" si="10"/>
        <v>141.6</v>
      </c>
      <c r="M35">
        <v>2</v>
      </c>
      <c r="N35" s="101">
        <f t="shared" si="5"/>
        <v>1.5748031496062992E-2</v>
      </c>
      <c r="O35" s="119">
        <f t="shared" si="6"/>
        <v>303.14960629921262</v>
      </c>
      <c r="P35" s="120">
        <f t="shared" si="7"/>
        <v>305.49769225338935</v>
      </c>
    </row>
    <row r="36" spans="1:16" ht="16.5" thickBot="1" x14ac:dyDescent="0.3">
      <c r="A36" s="114" t="s">
        <v>113</v>
      </c>
      <c r="B36" s="115">
        <v>300</v>
      </c>
      <c r="C36" s="115">
        <v>297.8</v>
      </c>
      <c r="D36" s="115">
        <v>319</v>
      </c>
      <c r="E36" s="115">
        <v>307.8</v>
      </c>
      <c r="F36" s="115">
        <v>361</v>
      </c>
      <c r="G36" s="115">
        <v>343.8</v>
      </c>
      <c r="H36" s="116">
        <f t="shared" si="8"/>
        <v>326.66666666666669</v>
      </c>
      <c r="I36">
        <f t="shared" si="9"/>
        <v>980</v>
      </c>
      <c r="J36" s="101">
        <f t="shared" si="2"/>
        <v>1.9923153550590579E-2</v>
      </c>
      <c r="K36" s="118">
        <f t="shared" si="3"/>
        <v>383.52070584886866</v>
      </c>
      <c r="L36" s="117">
        <f t="shared" si="10"/>
        <v>316.4666666666667</v>
      </c>
      <c r="M36">
        <v>4</v>
      </c>
      <c r="N36" s="101">
        <f t="shared" si="5"/>
        <v>3.1496062992125984E-2</v>
      </c>
      <c r="O36" s="119">
        <f t="shared" si="6"/>
        <v>606.29921259842524</v>
      </c>
      <c r="P36" s="120">
        <f t="shared" si="7"/>
        <v>989.81991844729396</v>
      </c>
    </row>
    <row r="37" spans="1:16" ht="15.75" x14ac:dyDescent="0.25">
      <c r="A37" s="125" t="s">
        <v>144</v>
      </c>
      <c r="B37">
        <f>SUM(B3:B36)</f>
        <v>15363</v>
      </c>
      <c r="D37">
        <f>SUM(D3:D36)</f>
        <v>16407</v>
      </c>
      <c r="F37">
        <f>SUM(F3:F36)</f>
        <v>17419</v>
      </c>
      <c r="H37" s="108">
        <f>SUM(H3:H36)</f>
        <v>16396.333333333328</v>
      </c>
      <c r="I37">
        <f>SUM(I3:I36)</f>
        <v>49189</v>
      </c>
      <c r="J37" s="101">
        <f t="shared" si="2"/>
        <v>1</v>
      </c>
      <c r="M37">
        <f>SUM(M3:M36)</f>
        <v>127</v>
      </c>
    </row>
    <row r="40" spans="1:16" ht="15.75" x14ac:dyDescent="0.25">
      <c r="A40" s="126"/>
    </row>
    <row r="41" spans="1:16" ht="31.5" x14ac:dyDescent="0.25">
      <c r="A41" s="127" t="s">
        <v>145</v>
      </c>
      <c r="B41">
        <v>30135</v>
      </c>
    </row>
    <row r="43" spans="1:16" ht="16.5" thickBot="1" x14ac:dyDescent="0.3">
      <c r="A43" s="121" t="s">
        <v>88</v>
      </c>
      <c r="B43" s="122">
        <v>2</v>
      </c>
      <c r="C43" s="122">
        <v>102.7</v>
      </c>
      <c r="D43" s="122">
        <v>4</v>
      </c>
      <c r="E43" s="122">
        <v>202.5</v>
      </c>
      <c r="F43" s="122">
        <v>3</v>
      </c>
      <c r="G43" s="122">
        <v>151.5</v>
      </c>
      <c r="H43" s="123">
        <f t="shared" ref="H43:H45" si="11">AVERAGE(B43,D43,F43)</f>
        <v>3</v>
      </c>
      <c r="I43">
        <f>SUM(B43,D43,F43)</f>
        <v>9</v>
      </c>
      <c r="J43" s="101">
        <f>I43/$I$37</f>
        <v>1.8296773668909715E-4</v>
      </c>
      <c r="L43" s="124">
        <f>AVERAGE(C43,E43,G43)</f>
        <v>152.23333333333332</v>
      </c>
    </row>
    <row r="44" spans="1:16" ht="16.5" thickBot="1" x14ac:dyDescent="0.3">
      <c r="A44" s="121" t="s">
        <v>110</v>
      </c>
      <c r="B44" s="122">
        <v>111</v>
      </c>
      <c r="C44" s="122">
        <v>435.7</v>
      </c>
      <c r="D44" s="122">
        <v>103</v>
      </c>
      <c r="E44" s="122">
        <v>390.6</v>
      </c>
      <c r="F44" s="122">
        <v>93</v>
      </c>
      <c r="G44" s="122">
        <v>348.3</v>
      </c>
      <c r="H44" s="123">
        <f t="shared" si="11"/>
        <v>102.33333333333333</v>
      </c>
      <c r="I44">
        <f>SUM(B44,D44,F44)</f>
        <v>307</v>
      </c>
      <c r="J44" s="101">
        <f>I44/$I$37</f>
        <v>6.2412327959503137E-3</v>
      </c>
      <c r="L44" s="124">
        <f>AVERAGE(C44,E44,G44)</f>
        <v>391.5333333333333</v>
      </c>
    </row>
    <row r="45" spans="1:16" ht="16.5" thickBot="1" x14ac:dyDescent="0.3">
      <c r="A45" s="114" t="s">
        <v>105</v>
      </c>
      <c r="B45" s="115">
        <v>7</v>
      </c>
      <c r="C45" s="115">
        <v>404.4</v>
      </c>
      <c r="D45" s="115">
        <v>3</v>
      </c>
      <c r="E45" s="115">
        <v>167.6</v>
      </c>
      <c r="F45" s="115">
        <v>6</v>
      </c>
      <c r="G45" s="115">
        <v>334.3</v>
      </c>
      <c r="H45" s="116">
        <f t="shared" si="11"/>
        <v>5.333333333333333</v>
      </c>
      <c r="I45">
        <f>SUM(B45,D45,F45)</f>
        <v>16</v>
      </c>
      <c r="J45" s="101">
        <f>I45/$I$37</f>
        <v>3.2527597633617275E-4</v>
      </c>
      <c r="L45" s="117">
        <f>AVERAGE(C45,E45,G45)</f>
        <v>302.09999999999997</v>
      </c>
    </row>
  </sheetData>
  <sortState ref="A3:P36">
    <sortCondition ref="A3:A36"/>
  </sortState>
  <mergeCells count="10">
    <mergeCell ref="I1:I2"/>
    <mergeCell ref="J1:J2"/>
    <mergeCell ref="M1:M2"/>
    <mergeCell ref="N1:N2"/>
    <mergeCell ref="A1:A2"/>
    <mergeCell ref="B1:B2"/>
    <mergeCell ref="D1:D2"/>
    <mergeCell ref="F1:F2"/>
    <mergeCell ref="H1:H2"/>
    <mergeCell ref="L1:L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H41"/>
  <sheetViews>
    <sheetView zoomScale="115" zoomScaleNormal="115" workbookViewId="0">
      <selection activeCell="G31" sqref="G31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14.5703125" customWidth="1"/>
    <col min="5" max="5" width="13.85546875" customWidth="1"/>
    <col min="6" max="6" width="22.28515625" customWidth="1"/>
    <col min="7" max="7" width="14.140625" customWidth="1"/>
    <col min="8" max="8" width="10" bestFit="1" customWidth="1"/>
  </cols>
  <sheetData>
    <row r="3" spans="2:8" x14ac:dyDescent="0.25">
      <c r="B3" t="s">
        <v>41</v>
      </c>
      <c r="C3" s="12">
        <v>500000</v>
      </c>
    </row>
    <row r="4" spans="2:8" x14ac:dyDescent="0.25">
      <c r="B4" t="s">
        <v>42</v>
      </c>
      <c r="C4" s="13">
        <v>38500</v>
      </c>
      <c r="D4" s="14"/>
    </row>
    <row r="5" spans="2:8" x14ac:dyDescent="0.25">
      <c r="D5" t="s">
        <v>120</v>
      </c>
      <c r="E5" t="s">
        <v>121</v>
      </c>
      <c r="F5" t="s">
        <v>122</v>
      </c>
    </row>
    <row r="6" spans="2:8" s="99" customFormat="1" ht="30" x14ac:dyDescent="0.25">
      <c r="B6" s="16" t="s">
        <v>0</v>
      </c>
      <c r="C6" s="16" t="s">
        <v>45</v>
      </c>
      <c r="D6" s="16" t="s">
        <v>46</v>
      </c>
      <c r="E6" s="16" t="s">
        <v>116</v>
      </c>
      <c r="F6" s="16" t="s">
        <v>117</v>
      </c>
      <c r="G6" s="98" t="s">
        <v>118</v>
      </c>
      <c r="H6" s="16" t="s">
        <v>119</v>
      </c>
    </row>
    <row r="7" spans="2:8" x14ac:dyDescent="0.25">
      <c r="B7" s="21" t="s">
        <v>8</v>
      </c>
      <c r="C7" s="22">
        <v>16425</v>
      </c>
      <c r="D7" s="23">
        <v>3.6575487569318964E-2</v>
      </c>
      <c r="E7" s="100">
        <f t="shared" ref="E7:E40" si="0">C7*D7</f>
        <v>600.75238332606398</v>
      </c>
      <c r="F7" s="101">
        <f t="shared" ref="F7:F40" si="1">E7/$E$41</f>
        <v>1.2303371308340989E-3</v>
      </c>
      <c r="G7" s="13">
        <f t="shared" ref="G7:G40" si="2">$C$4*F7</f>
        <v>47.367979537112809</v>
      </c>
      <c r="H7" s="102">
        <f t="shared" ref="H7:H40" si="3">G7/C7</f>
        <v>2.8838952534010844E-3</v>
      </c>
    </row>
    <row r="8" spans="2:8" x14ac:dyDescent="0.25">
      <c r="B8" s="21" t="s">
        <v>25</v>
      </c>
      <c r="C8" s="22">
        <v>90005</v>
      </c>
      <c r="D8" s="23">
        <v>6.7275728200478876E-2</v>
      </c>
      <c r="E8" s="100">
        <f t="shared" si="0"/>
        <v>6055.1519166841017</v>
      </c>
      <c r="F8" s="101">
        <f t="shared" si="1"/>
        <v>1.240091332587227E-2</v>
      </c>
      <c r="G8" s="13">
        <f t="shared" si="2"/>
        <v>477.43516304608238</v>
      </c>
      <c r="H8" s="102">
        <f t="shared" si="3"/>
        <v>5.3045404482649008E-3</v>
      </c>
    </row>
    <row r="9" spans="2:8" x14ac:dyDescent="0.25">
      <c r="B9" s="21" t="s">
        <v>33</v>
      </c>
      <c r="C9" s="22">
        <v>397385</v>
      </c>
      <c r="D9" s="23">
        <v>8.0411336714349219E-2</v>
      </c>
      <c r="E9" s="100">
        <f t="shared" si="0"/>
        <v>31954.259040231664</v>
      </c>
      <c r="F9" s="101">
        <f t="shared" si="1"/>
        <v>6.5442123038819258E-2</v>
      </c>
      <c r="G9" s="13">
        <f t="shared" si="2"/>
        <v>2519.5217369945412</v>
      </c>
      <c r="H9" s="102">
        <f t="shared" si="3"/>
        <v>6.340253751386039E-3</v>
      </c>
    </row>
    <row r="10" spans="2:8" x14ac:dyDescent="0.25">
      <c r="B10" s="21" t="s">
        <v>17</v>
      </c>
      <c r="C10" s="22">
        <v>37750</v>
      </c>
      <c r="D10" s="23">
        <v>7.9116983564292614E-2</v>
      </c>
      <c r="E10" s="100">
        <f t="shared" si="0"/>
        <v>2986.6661295520462</v>
      </c>
      <c r="F10" s="101">
        <f t="shared" si="1"/>
        <v>6.1166735889552366E-3</v>
      </c>
      <c r="G10" s="13">
        <f t="shared" si="2"/>
        <v>235.49193317477662</v>
      </c>
      <c r="H10" s="102">
        <f t="shared" si="3"/>
        <v>6.2381969052920962E-3</v>
      </c>
    </row>
    <row r="11" spans="2:8" x14ac:dyDescent="0.25">
      <c r="B11" s="21" t="s">
        <v>19</v>
      </c>
      <c r="C11" s="22">
        <v>50390</v>
      </c>
      <c r="D11" s="23">
        <v>4.3993917891535735E-2</v>
      </c>
      <c r="E11" s="100">
        <f t="shared" si="0"/>
        <v>2216.8535225544856</v>
      </c>
      <c r="F11" s="101">
        <f t="shared" si="1"/>
        <v>4.5401021754062475E-3</v>
      </c>
      <c r="G11" s="13">
        <f t="shared" si="2"/>
        <v>174.79393375314052</v>
      </c>
      <c r="H11" s="102">
        <f t="shared" si="3"/>
        <v>3.4688218645195579E-3</v>
      </c>
    </row>
    <row r="12" spans="2:8" x14ac:dyDescent="0.25">
      <c r="B12" s="21" t="s">
        <v>20</v>
      </c>
      <c r="C12" s="22">
        <v>62990</v>
      </c>
      <c r="D12" s="23">
        <v>5.7213057213057215E-2</v>
      </c>
      <c r="E12" s="100">
        <f t="shared" si="0"/>
        <v>3603.8504738504739</v>
      </c>
      <c r="F12" s="101">
        <f t="shared" si="1"/>
        <v>7.3806632732836474E-3</v>
      </c>
      <c r="G12" s="13">
        <f t="shared" si="2"/>
        <v>284.1555360214204</v>
      </c>
      <c r="H12" s="102">
        <f t="shared" si="3"/>
        <v>4.5111213846867823E-3</v>
      </c>
    </row>
    <row r="13" spans="2:8" x14ac:dyDescent="0.25">
      <c r="B13" s="21" t="s">
        <v>9</v>
      </c>
      <c r="C13" s="22">
        <v>21085</v>
      </c>
      <c r="D13" s="23">
        <v>7.2747379555726507E-2</v>
      </c>
      <c r="E13" s="100">
        <f t="shared" si="0"/>
        <v>1533.8784979324935</v>
      </c>
      <c r="F13" s="101">
        <f t="shared" si="1"/>
        <v>3.1413735884757905E-3</v>
      </c>
      <c r="G13" s="13">
        <f t="shared" si="2"/>
        <v>120.94288315631793</v>
      </c>
      <c r="H13" s="102">
        <f t="shared" si="3"/>
        <v>5.7359678992799585E-3</v>
      </c>
    </row>
    <row r="14" spans="2:8" x14ac:dyDescent="0.25">
      <c r="B14" s="21" t="s">
        <v>11</v>
      </c>
      <c r="C14" s="22">
        <v>22470</v>
      </c>
      <c r="D14" s="23">
        <v>6.0203213822120766E-2</v>
      </c>
      <c r="E14" s="100">
        <f t="shared" si="0"/>
        <v>1352.7662145830536</v>
      </c>
      <c r="F14" s="101">
        <f t="shared" si="1"/>
        <v>2.7704567627758756E-3</v>
      </c>
      <c r="G14" s="13">
        <f t="shared" si="2"/>
        <v>106.66258536687121</v>
      </c>
      <c r="H14" s="102">
        <f t="shared" si="3"/>
        <v>4.7468885343511886E-3</v>
      </c>
    </row>
    <row r="15" spans="2:8" x14ac:dyDescent="0.25">
      <c r="B15" s="21" t="s">
        <v>29</v>
      </c>
      <c r="C15" s="22">
        <v>170740</v>
      </c>
      <c r="D15" s="23">
        <v>7.611207483097443E-2</v>
      </c>
      <c r="E15" s="100">
        <f t="shared" si="0"/>
        <v>12995.375656640574</v>
      </c>
      <c r="F15" s="101">
        <f t="shared" si="1"/>
        <v>2.6614448220714664E-2</v>
      </c>
      <c r="G15" s="13">
        <f t="shared" si="2"/>
        <v>1024.6562564975145</v>
      </c>
      <c r="H15" s="102">
        <f t="shared" si="3"/>
        <v>6.0012665836799489E-3</v>
      </c>
    </row>
    <row r="16" spans="2:8" x14ac:dyDescent="0.25">
      <c r="B16" s="21" t="s">
        <v>27</v>
      </c>
      <c r="C16" s="22">
        <v>109910</v>
      </c>
      <c r="D16" s="23">
        <v>4.96845720258315E-2</v>
      </c>
      <c r="E16" s="100">
        <f t="shared" si="0"/>
        <v>5460.8313113591403</v>
      </c>
      <c r="F16" s="101">
        <f t="shared" si="1"/>
        <v>1.1183748436233831E-2</v>
      </c>
      <c r="G16" s="13">
        <f t="shared" si="2"/>
        <v>430.57431479500246</v>
      </c>
      <c r="H16" s="102">
        <f t="shared" si="3"/>
        <v>3.9175171940224046E-3</v>
      </c>
    </row>
    <row r="17" spans="2:8" x14ac:dyDescent="0.25">
      <c r="B17" s="21" t="s">
        <v>5</v>
      </c>
      <c r="C17" s="22">
        <v>7430</v>
      </c>
      <c r="D17" s="23">
        <v>3.2491467576791812E-2</v>
      </c>
      <c r="E17" s="100">
        <f t="shared" si="0"/>
        <v>241.41160409556315</v>
      </c>
      <c r="F17" s="101">
        <f t="shared" si="1"/>
        <v>4.9440945816736517E-4</v>
      </c>
      <c r="G17" s="13">
        <f t="shared" si="2"/>
        <v>19.03476413944356</v>
      </c>
      <c r="H17" s="102">
        <f t="shared" si="3"/>
        <v>2.5618794265738305E-3</v>
      </c>
    </row>
    <row r="18" spans="2:8" x14ac:dyDescent="0.25">
      <c r="B18" s="21" t="s">
        <v>4</v>
      </c>
      <c r="C18" s="22">
        <v>7295</v>
      </c>
      <c r="D18" s="23">
        <v>4.4257548600579073E-2</v>
      </c>
      <c r="E18" s="100">
        <f t="shared" si="0"/>
        <v>322.85881704122431</v>
      </c>
      <c r="F18" s="101">
        <f t="shared" si="1"/>
        <v>6.6121284184301522E-4</v>
      </c>
      <c r="G18" s="13">
        <f t="shared" si="2"/>
        <v>25.456694410956086</v>
      </c>
      <c r="H18" s="102">
        <f t="shared" si="3"/>
        <v>3.4896085553058377E-3</v>
      </c>
    </row>
    <row r="19" spans="2:8" x14ac:dyDescent="0.25">
      <c r="B19" s="21" t="s">
        <v>12</v>
      </c>
      <c r="C19" s="22">
        <v>24245</v>
      </c>
      <c r="D19" s="23">
        <v>0.30265251989389919</v>
      </c>
      <c r="E19" s="100">
        <f t="shared" si="0"/>
        <v>7337.8103448275861</v>
      </c>
      <c r="F19" s="101">
        <f t="shared" si="1"/>
        <v>1.5027789779670207E-2</v>
      </c>
      <c r="G19" s="13">
        <f t="shared" si="2"/>
        <v>578.56990651730291</v>
      </c>
      <c r="H19" s="102">
        <f t="shared" si="3"/>
        <v>2.3863473149816575E-2</v>
      </c>
    </row>
    <row r="20" spans="2:8" x14ac:dyDescent="0.25">
      <c r="B20" s="21" t="s">
        <v>30</v>
      </c>
      <c r="C20" s="22">
        <v>210975</v>
      </c>
      <c r="D20" s="23">
        <v>0.11426884109534667</v>
      </c>
      <c r="E20" s="100">
        <f t="shared" si="0"/>
        <v>24107.868750090765</v>
      </c>
      <c r="F20" s="101">
        <f t="shared" si="1"/>
        <v>4.9372764705975417E-2</v>
      </c>
      <c r="G20" s="13">
        <f t="shared" si="2"/>
        <v>1900.8514411800536</v>
      </c>
      <c r="H20" s="102">
        <f t="shared" si="3"/>
        <v>9.0098421195878835E-3</v>
      </c>
    </row>
    <row r="21" spans="2:8" x14ac:dyDescent="0.25">
      <c r="B21" s="21" t="s">
        <v>10</v>
      </c>
      <c r="C21" s="22">
        <v>22445</v>
      </c>
      <c r="D21" s="23">
        <v>0.19468621163536418</v>
      </c>
      <c r="E21" s="100">
        <f t="shared" si="0"/>
        <v>4369.7320201557486</v>
      </c>
      <c r="F21" s="101">
        <f t="shared" si="1"/>
        <v>8.949183899074618E-3</v>
      </c>
      <c r="G21" s="13">
        <f t="shared" si="2"/>
        <v>344.54358011437279</v>
      </c>
      <c r="H21" s="102">
        <f t="shared" si="3"/>
        <v>1.535057162461006E-2</v>
      </c>
    </row>
    <row r="22" spans="2:8" x14ac:dyDescent="0.25">
      <c r="B22" s="21" t="s">
        <v>24</v>
      </c>
      <c r="C22" s="22">
        <v>83720</v>
      </c>
      <c r="D22" s="23">
        <v>6.6838510738246953E-2</v>
      </c>
      <c r="E22" s="100">
        <f t="shared" si="0"/>
        <v>5595.720119006035</v>
      </c>
      <c r="F22" s="101">
        <f t="shared" si="1"/>
        <v>1.1459999872246589E-2</v>
      </c>
      <c r="G22" s="13">
        <f t="shared" si="2"/>
        <v>441.20999508149367</v>
      </c>
      <c r="H22" s="102">
        <f t="shared" si="3"/>
        <v>5.2700668308826287E-3</v>
      </c>
    </row>
    <row r="23" spans="2:8" x14ac:dyDescent="0.25">
      <c r="B23" s="21" t="s">
        <v>21</v>
      </c>
      <c r="C23" s="22">
        <v>67110</v>
      </c>
      <c r="D23" s="23">
        <v>0.11207092521027506</v>
      </c>
      <c r="E23" s="100">
        <f t="shared" si="0"/>
        <v>7521.0797908615596</v>
      </c>
      <c r="F23" s="101">
        <f t="shared" si="1"/>
        <v>1.5403124461081882E-2</v>
      </c>
      <c r="G23" s="13">
        <f t="shared" si="2"/>
        <v>593.02029175165239</v>
      </c>
      <c r="H23" s="102">
        <f t="shared" si="3"/>
        <v>8.8365413761235644E-3</v>
      </c>
    </row>
    <row r="24" spans="2:8" x14ac:dyDescent="0.25">
      <c r="B24" s="21" t="s">
        <v>6</v>
      </c>
      <c r="C24" s="22">
        <v>8010</v>
      </c>
      <c r="D24" s="23">
        <v>7.4484339190221543E-2</v>
      </c>
      <c r="E24" s="100">
        <f t="shared" si="0"/>
        <v>596.61955691367461</v>
      </c>
      <c r="F24" s="101">
        <f t="shared" si="1"/>
        <v>1.2218731281408383E-3</v>
      </c>
      <c r="G24" s="13">
        <f t="shared" si="2"/>
        <v>47.042115433422275</v>
      </c>
      <c r="H24" s="102">
        <f t="shared" si="3"/>
        <v>5.8729232750839291E-3</v>
      </c>
    </row>
    <row r="25" spans="2:8" x14ac:dyDescent="0.25">
      <c r="B25" s="21" t="s">
        <v>32</v>
      </c>
      <c r="C25" s="22">
        <v>362150</v>
      </c>
      <c r="D25" s="23">
        <v>7.8584636547113007E-2</v>
      </c>
      <c r="E25" s="100">
        <f t="shared" si="0"/>
        <v>28459.426125536975</v>
      </c>
      <c r="F25" s="101">
        <f t="shared" si="1"/>
        <v>5.8284727046140752E-2</v>
      </c>
      <c r="G25" s="13">
        <f t="shared" si="2"/>
        <v>2243.9619912764188</v>
      </c>
      <c r="H25" s="102">
        <f t="shared" si="3"/>
        <v>6.1962225356245165E-3</v>
      </c>
    </row>
    <row r="26" spans="2:8" x14ac:dyDescent="0.25">
      <c r="B26" s="21" t="s">
        <v>18</v>
      </c>
      <c r="C26" s="22">
        <v>47225</v>
      </c>
      <c r="D26" s="23">
        <v>8.2535003684598374E-2</v>
      </c>
      <c r="E26" s="100">
        <f t="shared" si="0"/>
        <v>3897.7155490051582</v>
      </c>
      <c r="F26" s="101">
        <f t="shared" si="1"/>
        <v>7.982497112737472E-3</v>
      </c>
      <c r="G26" s="13">
        <f t="shared" si="2"/>
        <v>307.32613884039267</v>
      </c>
      <c r="H26" s="102">
        <f t="shared" si="3"/>
        <v>6.5077001342592417E-3</v>
      </c>
    </row>
    <row r="27" spans="2:8" x14ac:dyDescent="0.25">
      <c r="B27" s="21" t="s">
        <v>28</v>
      </c>
      <c r="C27" s="22">
        <v>120860</v>
      </c>
      <c r="D27" s="23">
        <v>8.1085651475437559E-2</v>
      </c>
      <c r="E27" s="100">
        <f t="shared" si="0"/>
        <v>9800.0118373213827</v>
      </c>
      <c r="F27" s="101">
        <f t="shared" si="1"/>
        <v>2.0070363065918913E-2</v>
      </c>
      <c r="G27" s="13">
        <f t="shared" si="2"/>
        <v>772.70897803787818</v>
      </c>
      <c r="H27" s="102">
        <f t="shared" si="3"/>
        <v>6.3934219596051478E-3</v>
      </c>
    </row>
    <row r="28" spans="2:8" x14ac:dyDescent="0.25">
      <c r="B28" s="21" t="s">
        <v>16</v>
      </c>
      <c r="C28" s="22">
        <v>31480</v>
      </c>
      <c r="D28" s="23">
        <v>0.32433311646063762</v>
      </c>
      <c r="E28" s="100">
        <f t="shared" si="0"/>
        <v>10210.006506180873</v>
      </c>
      <c r="F28" s="101">
        <f t="shared" si="1"/>
        <v>2.0910029588337146E-2</v>
      </c>
      <c r="G28" s="13">
        <f t="shared" si="2"/>
        <v>805.03613915098015</v>
      </c>
      <c r="H28" s="102">
        <f t="shared" si="3"/>
        <v>2.5572939617248415E-2</v>
      </c>
    </row>
    <row r="29" spans="2:8" x14ac:dyDescent="0.25">
      <c r="B29" s="21" t="s">
        <v>31</v>
      </c>
      <c r="C29" s="22">
        <v>329770</v>
      </c>
      <c r="D29" s="23">
        <v>0.25028709806271221</v>
      </c>
      <c r="E29" s="100">
        <f t="shared" si="0"/>
        <v>82537.176328140602</v>
      </c>
      <c r="F29" s="101">
        <f t="shared" si="1"/>
        <v>0.16903562187883353</v>
      </c>
      <c r="G29" s="13">
        <f t="shared" si="2"/>
        <v>6507.8714423350912</v>
      </c>
      <c r="H29" s="102">
        <f t="shared" si="3"/>
        <v>1.9734576954650487E-2</v>
      </c>
    </row>
    <row r="30" spans="2:8" x14ac:dyDescent="0.25">
      <c r="B30" s="21" t="s">
        <v>7</v>
      </c>
      <c r="C30" s="22">
        <v>11630</v>
      </c>
      <c r="D30" s="23">
        <v>0.33181777658910583</v>
      </c>
      <c r="E30" s="100">
        <f t="shared" si="0"/>
        <v>3859.0407417313008</v>
      </c>
      <c r="F30" s="101">
        <f t="shared" si="1"/>
        <v>7.9032913488694435E-3</v>
      </c>
      <c r="G30" s="13">
        <f t="shared" si="2"/>
        <v>304.27671693147357</v>
      </c>
      <c r="H30" s="102">
        <f t="shared" si="3"/>
        <v>2.6163088300212689E-2</v>
      </c>
    </row>
    <row r="31" spans="2:8" x14ac:dyDescent="0.25">
      <c r="B31" s="21" t="s">
        <v>35</v>
      </c>
      <c r="C31" s="22">
        <v>777490</v>
      </c>
      <c r="D31" s="23">
        <v>0.11020358582517682</v>
      </c>
      <c r="E31" s="100">
        <f t="shared" si="0"/>
        <v>85682.185943216726</v>
      </c>
      <c r="F31" s="101">
        <f t="shared" si="1"/>
        <v>0.17547658193767737</v>
      </c>
      <c r="G31" s="13">
        <f t="shared" si="2"/>
        <v>6755.8484046005788</v>
      </c>
      <c r="H31" s="102">
        <f t="shared" si="3"/>
        <v>8.6893058490791885E-3</v>
      </c>
    </row>
    <row r="32" spans="2:8" x14ac:dyDescent="0.25">
      <c r="B32" s="21" t="s">
        <v>15</v>
      </c>
      <c r="C32" s="22">
        <v>30135</v>
      </c>
      <c r="D32" s="23">
        <v>0.14812905885991134</v>
      </c>
      <c r="E32" s="100">
        <f t="shared" si="0"/>
        <v>4463.8691887434279</v>
      </c>
      <c r="F32" s="101">
        <f t="shared" si="1"/>
        <v>9.1419762326876309E-3</v>
      </c>
      <c r="G32" s="13">
        <f t="shared" si="2"/>
        <v>351.9660849584738</v>
      </c>
      <c r="H32" s="102">
        <f t="shared" si="3"/>
        <v>1.1679644432005103E-2</v>
      </c>
    </row>
    <row r="33" spans="2:8" x14ac:dyDescent="0.25">
      <c r="B33" s="21" t="s">
        <v>22</v>
      </c>
      <c r="C33" s="22">
        <v>78570</v>
      </c>
      <c r="D33" s="23">
        <v>0.12602008788449467</v>
      </c>
      <c r="E33" s="100">
        <f t="shared" si="0"/>
        <v>9901.3983050847473</v>
      </c>
      <c r="F33" s="101">
        <f t="shared" si="1"/>
        <v>2.0278001918989728E-2</v>
      </c>
      <c r="G33" s="13">
        <f t="shared" si="2"/>
        <v>780.7030738811045</v>
      </c>
      <c r="H33" s="102">
        <f t="shared" si="3"/>
        <v>9.9364016021522786E-3</v>
      </c>
    </row>
    <row r="34" spans="2:8" x14ac:dyDescent="0.25">
      <c r="B34" s="21" t="s">
        <v>13</v>
      </c>
      <c r="C34" s="22">
        <v>25690</v>
      </c>
      <c r="D34" s="23">
        <v>9.6431672850714453E-2</v>
      </c>
      <c r="E34" s="100">
        <f t="shared" si="0"/>
        <v>2477.3296755348542</v>
      </c>
      <c r="F34" s="101">
        <f t="shared" si="1"/>
        <v>5.0735557106785841E-3</v>
      </c>
      <c r="G34" s="13">
        <f t="shared" si="2"/>
        <v>195.33189486112548</v>
      </c>
      <c r="H34" s="102">
        <f t="shared" si="3"/>
        <v>7.6034213647771694E-3</v>
      </c>
    </row>
    <row r="35" spans="2:8" x14ac:dyDescent="0.25">
      <c r="B35" s="21" t="s">
        <v>23</v>
      </c>
      <c r="C35" s="22">
        <v>79155</v>
      </c>
      <c r="D35" s="23">
        <v>0.24865288016178486</v>
      </c>
      <c r="E35" s="100">
        <f t="shared" si="0"/>
        <v>19682.118729206079</v>
      </c>
      <c r="F35" s="101">
        <f t="shared" si="1"/>
        <v>4.0308856291102257E-2</v>
      </c>
      <c r="G35" s="13">
        <f t="shared" si="2"/>
        <v>1551.8909672074369</v>
      </c>
      <c r="H35" s="102">
        <f t="shared" si="3"/>
        <v>1.9605722534362161E-2</v>
      </c>
    </row>
    <row r="36" spans="2:8" x14ac:dyDescent="0.25">
      <c r="B36" s="21" t="s">
        <v>14</v>
      </c>
      <c r="C36" s="22">
        <v>26625</v>
      </c>
      <c r="D36" s="23">
        <v>4.2275411874417156E-2</v>
      </c>
      <c r="E36" s="100">
        <f t="shared" si="0"/>
        <v>1125.5828411563568</v>
      </c>
      <c r="F36" s="101">
        <f t="shared" si="1"/>
        <v>2.3051866321981231E-3</v>
      </c>
      <c r="G36" s="13">
        <f t="shared" si="2"/>
        <v>88.749685339627746</v>
      </c>
      <c r="H36" s="102">
        <f t="shared" si="3"/>
        <v>3.3333215151033894E-3</v>
      </c>
    </row>
    <row r="37" spans="2:8" x14ac:dyDescent="0.25">
      <c r="B37" s="21" t="s">
        <v>3</v>
      </c>
      <c r="C37" s="22">
        <v>7100</v>
      </c>
      <c r="D37" s="23">
        <v>2.4952850718119833E-2</v>
      </c>
      <c r="E37" s="100">
        <f t="shared" si="0"/>
        <v>177.16524009865083</v>
      </c>
      <c r="F37" s="101">
        <f t="shared" si="1"/>
        <v>3.62833305761854E-4</v>
      </c>
      <c r="G37" s="13">
        <f t="shared" si="2"/>
        <v>13.969082271831379</v>
      </c>
      <c r="H37" s="102">
        <f t="shared" si="3"/>
        <v>1.9674763763142789E-3</v>
      </c>
    </row>
    <row r="38" spans="2:8" x14ac:dyDescent="0.25">
      <c r="B38" s="21" t="s">
        <v>34</v>
      </c>
      <c r="C38" s="22">
        <v>570510</v>
      </c>
      <c r="D38" s="23">
        <v>0.1601056532913448</v>
      </c>
      <c r="E38" s="100">
        <f t="shared" si="0"/>
        <v>91341.876259245124</v>
      </c>
      <c r="F38" s="101">
        <f t="shared" si="1"/>
        <v>0.18706759237408957</v>
      </c>
      <c r="G38" s="13">
        <f t="shared" si="2"/>
        <v>7202.1023064024484</v>
      </c>
      <c r="H38" s="102">
        <f t="shared" si="3"/>
        <v>1.2623972071308914E-2</v>
      </c>
    </row>
    <row r="39" spans="2:8" x14ac:dyDescent="0.25">
      <c r="B39" s="21" t="s">
        <v>2</v>
      </c>
      <c r="C39" s="22">
        <v>1445</v>
      </c>
      <c r="D39" s="23">
        <v>3.5372144436256449E-2</v>
      </c>
      <c r="E39" s="100">
        <f t="shared" si="0"/>
        <v>51.112748710390569</v>
      </c>
      <c r="F39" s="101">
        <f t="shared" si="1"/>
        <v>1.0467859028576554E-4</v>
      </c>
      <c r="G39" s="13">
        <f t="shared" si="2"/>
        <v>4.0301257260019732</v>
      </c>
      <c r="H39" s="102">
        <f t="shared" si="3"/>
        <v>2.7890143432539607E-3</v>
      </c>
    </row>
    <row r="40" spans="2:8" x14ac:dyDescent="0.25">
      <c r="B40" s="21" t="s">
        <v>26</v>
      </c>
      <c r="C40" s="22">
        <v>103630</v>
      </c>
      <c r="D40" s="23">
        <v>0.15211074179487691</v>
      </c>
      <c r="E40" s="100">
        <f t="shared" si="0"/>
        <v>15763.236172203095</v>
      </c>
      <c r="F40" s="101">
        <f t="shared" si="1"/>
        <v>3.2283009278121021E-2</v>
      </c>
      <c r="G40" s="13">
        <f t="shared" si="2"/>
        <v>1242.8958572076592</v>
      </c>
      <c r="H40" s="102">
        <f t="shared" si="3"/>
        <v>1.1993591211113184E-2</v>
      </c>
    </row>
    <row r="41" spans="2:8" x14ac:dyDescent="0.25">
      <c r="B41" s="7" t="s">
        <v>36</v>
      </c>
      <c r="C41" s="38">
        <f>SUM(C7:C40)</f>
        <v>4013845</v>
      </c>
      <c r="D41" s="38"/>
      <c r="E41" s="38">
        <f>SUM(E7:E40)</f>
        <v>488282.73834082199</v>
      </c>
      <c r="F41" s="103">
        <f>SUM(F7:F40)</f>
        <v>0.99999999999999989</v>
      </c>
      <c r="G41" s="104">
        <f>SUM(G7:G40)</f>
        <v>38499.999999999993</v>
      </c>
      <c r="H41" s="105">
        <f t="shared" ref="H41" si="4">G41/C41</f>
        <v>9.5918003809314992E-3</v>
      </c>
    </row>
  </sheetData>
  <sortState ref="B7:H40">
    <sortCondition ref="B7:B40"/>
  </sortState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J41"/>
  <sheetViews>
    <sheetView zoomScale="130" zoomScaleNormal="130" workbookViewId="0">
      <selection activeCell="D7" sqref="D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11.85546875" customWidth="1"/>
    <col min="5" max="5" width="10.5703125" bestFit="1" customWidth="1"/>
    <col min="6" max="6" width="13.28515625" customWidth="1"/>
    <col min="7" max="7" width="14.140625" customWidth="1"/>
    <col min="8" max="8" width="10" bestFit="1" customWidth="1"/>
    <col min="10" max="10" width="10.5703125" bestFit="1" customWidth="1"/>
  </cols>
  <sheetData>
    <row r="3" spans="2:10" x14ac:dyDescent="0.25">
      <c r="B3" t="s">
        <v>41</v>
      </c>
      <c r="C3" s="12">
        <v>500000</v>
      </c>
    </row>
    <row r="4" spans="2:10" x14ac:dyDescent="0.25">
      <c r="B4" t="s">
        <v>42</v>
      </c>
      <c r="C4" s="13">
        <v>38500</v>
      </c>
      <c r="D4" s="14"/>
    </row>
    <row r="5" spans="2:10" x14ac:dyDescent="0.25">
      <c r="D5" t="s">
        <v>130</v>
      </c>
      <c r="E5" t="s">
        <v>131</v>
      </c>
      <c r="F5" t="s">
        <v>132</v>
      </c>
    </row>
    <row r="6" spans="2:10" s="99" customFormat="1" ht="30" x14ac:dyDescent="0.25">
      <c r="B6" s="16" t="s">
        <v>0</v>
      </c>
      <c r="C6" s="16" t="s">
        <v>45</v>
      </c>
      <c r="D6" s="16" t="s">
        <v>46</v>
      </c>
      <c r="E6" s="16" t="s">
        <v>116</v>
      </c>
      <c r="F6" s="16" t="s">
        <v>117</v>
      </c>
      <c r="G6" s="98" t="s">
        <v>118</v>
      </c>
      <c r="H6" s="16" t="s">
        <v>119</v>
      </c>
    </row>
    <row r="7" spans="2:10" x14ac:dyDescent="0.25">
      <c r="B7" s="21" t="s">
        <v>8</v>
      </c>
      <c r="C7" s="22">
        <v>16425</v>
      </c>
      <c r="D7" s="23">
        <v>9.8090504839131575E-3</v>
      </c>
      <c r="E7" s="100">
        <f t="shared" ref="E7:E40" si="0">C7*D7</f>
        <v>161.11365419827362</v>
      </c>
      <c r="F7" s="101">
        <f t="shared" ref="F7:F40" si="1">E7/$E$41</f>
        <v>6.3617476131670682E-4</v>
      </c>
      <c r="G7" s="13">
        <f t="shared" ref="G7:G40" si="2">$C$4*F7</f>
        <v>24.492728310693213</v>
      </c>
      <c r="H7" s="102">
        <f t="shared" ref="H7:H40" si="3">G7/C7</f>
        <v>1.4911858941061317E-3</v>
      </c>
      <c r="J7" s="106"/>
    </row>
    <row r="8" spans="2:10" x14ac:dyDescent="0.25">
      <c r="B8" s="21" t="s">
        <v>25</v>
      </c>
      <c r="C8" s="22">
        <v>90005</v>
      </c>
      <c r="D8" s="23">
        <v>3.3516133770748663E-2</v>
      </c>
      <c r="E8" s="100">
        <f t="shared" si="0"/>
        <v>3016.6196200362333</v>
      </c>
      <c r="F8" s="101">
        <f t="shared" si="1"/>
        <v>1.1911450189057963E-2</v>
      </c>
      <c r="G8" s="13">
        <f t="shared" si="2"/>
        <v>458.59083227873157</v>
      </c>
      <c r="H8" s="102">
        <f t="shared" si="3"/>
        <v>5.0951706269510757E-3</v>
      </c>
      <c r="J8" s="106"/>
    </row>
    <row r="9" spans="2:10" x14ac:dyDescent="0.25">
      <c r="B9" s="21" t="s">
        <v>33</v>
      </c>
      <c r="C9" s="22">
        <v>397385</v>
      </c>
      <c r="D9" s="23">
        <v>4.5398369781982216E-2</v>
      </c>
      <c r="E9" s="100">
        <f t="shared" si="0"/>
        <v>18040.631175813003</v>
      </c>
      <c r="F9" s="101">
        <f t="shared" si="1"/>
        <v>7.1235391496685174E-2</v>
      </c>
      <c r="G9" s="13">
        <f t="shared" si="2"/>
        <v>2742.5625726223793</v>
      </c>
      <c r="H9" s="102">
        <f t="shared" si="3"/>
        <v>6.901525152238709E-3</v>
      </c>
      <c r="J9" s="106"/>
    </row>
    <row r="10" spans="2:10" x14ac:dyDescent="0.25">
      <c r="B10" s="21" t="s">
        <v>17</v>
      </c>
      <c r="C10" s="22">
        <v>37750</v>
      </c>
      <c r="D10" s="23">
        <v>3.0486936205373679E-2</v>
      </c>
      <c r="E10" s="100">
        <f t="shared" si="0"/>
        <v>1150.8818417528564</v>
      </c>
      <c r="F10" s="101">
        <f t="shared" si="1"/>
        <v>4.544381943443628E-3</v>
      </c>
      <c r="G10" s="13">
        <f t="shared" si="2"/>
        <v>174.95870482257968</v>
      </c>
      <c r="H10" s="102">
        <f t="shared" si="3"/>
        <v>4.6346676774193293E-3</v>
      </c>
      <c r="J10" s="106"/>
    </row>
    <row r="11" spans="2:10" x14ac:dyDescent="0.25">
      <c r="B11" s="21" t="s">
        <v>19</v>
      </c>
      <c r="C11" s="22">
        <v>50390</v>
      </c>
      <c r="D11" s="23">
        <v>1.1346542313147375E-2</v>
      </c>
      <c r="E11" s="100">
        <f t="shared" si="0"/>
        <v>571.75226715949623</v>
      </c>
      <c r="F11" s="101">
        <f t="shared" si="1"/>
        <v>2.2576259219150405E-3</v>
      </c>
      <c r="G11" s="13">
        <f t="shared" si="2"/>
        <v>86.918597993729065</v>
      </c>
      <c r="H11" s="102">
        <f t="shared" si="3"/>
        <v>1.7249176025745001E-3</v>
      </c>
      <c r="J11" s="106"/>
    </row>
    <row r="12" spans="2:10" x14ac:dyDescent="0.25">
      <c r="B12" s="21" t="s">
        <v>20</v>
      </c>
      <c r="C12" s="22">
        <v>62990</v>
      </c>
      <c r="D12" s="23">
        <v>1.33518496829354E-2</v>
      </c>
      <c r="E12" s="100">
        <f t="shared" si="0"/>
        <v>841.03301152810081</v>
      </c>
      <c r="F12" s="101">
        <f t="shared" si="1"/>
        <v>3.3209101862335748E-3</v>
      </c>
      <c r="G12" s="13">
        <f t="shared" si="2"/>
        <v>127.85504216999263</v>
      </c>
      <c r="H12" s="102">
        <f t="shared" si="3"/>
        <v>2.0297672990949775E-3</v>
      </c>
      <c r="J12" s="106"/>
    </row>
    <row r="13" spans="2:10" x14ac:dyDescent="0.25">
      <c r="B13" s="21" t="s">
        <v>9</v>
      </c>
      <c r="C13" s="22">
        <v>21085</v>
      </c>
      <c r="D13" s="23">
        <v>1.997702641961744E-2</v>
      </c>
      <c r="E13" s="100">
        <f t="shared" si="0"/>
        <v>421.2156020576337</v>
      </c>
      <c r="F13" s="101">
        <f t="shared" si="1"/>
        <v>1.6632155507572083E-3</v>
      </c>
      <c r="G13" s="13">
        <f t="shared" si="2"/>
        <v>64.033798704152517</v>
      </c>
      <c r="H13" s="102">
        <f t="shared" si="3"/>
        <v>3.0369361491179758E-3</v>
      </c>
      <c r="J13" s="106"/>
    </row>
    <row r="14" spans="2:10" x14ac:dyDescent="0.25">
      <c r="B14" s="21" t="s">
        <v>11</v>
      </c>
      <c r="C14" s="22">
        <v>22470</v>
      </c>
      <c r="D14" s="23">
        <v>1.0719112643892435E-2</v>
      </c>
      <c r="E14" s="100">
        <f t="shared" si="0"/>
        <v>240.85846110826301</v>
      </c>
      <c r="F14" s="101">
        <f t="shared" si="1"/>
        <v>9.5105579206892826E-4</v>
      </c>
      <c r="G14" s="13">
        <f t="shared" si="2"/>
        <v>36.615647994653735</v>
      </c>
      <c r="H14" s="102">
        <f t="shared" si="3"/>
        <v>1.6295348462240203E-3</v>
      </c>
      <c r="J14" s="106"/>
    </row>
    <row r="15" spans="2:10" x14ac:dyDescent="0.25">
      <c r="B15" s="21" t="s">
        <v>29</v>
      </c>
      <c r="C15" s="22">
        <v>170740</v>
      </c>
      <c r="D15" s="23">
        <v>2.670263612386703E-2</v>
      </c>
      <c r="E15" s="100">
        <f t="shared" si="0"/>
        <v>4559.2080917890562</v>
      </c>
      <c r="F15" s="101">
        <f t="shared" si="1"/>
        <v>1.8002528302273342E-2</v>
      </c>
      <c r="G15" s="13">
        <f t="shared" si="2"/>
        <v>693.09733963752365</v>
      </c>
      <c r="H15" s="102">
        <f t="shared" si="3"/>
        <v>4.0593729626187403E-3</v>
      </c>
      <c r="J15" s="106"/>
    </row>
    <row r="16" spans="2:10" x14ac:dyDescent="0.25">
      <c r="B16" s="21" t="s">
        <v>27</v>
      </c>
      <c r="C16" s="22">
        <v>109910</v>
      </c>
      <c r="D16" s="23">
        <v>1.0176044590112456E-2</v>
      </c>
      <c r="E16" s="100">
        <f t="shared" si="0"/>
        <v>1118.4490608992601</v>
      </c>
      <c r="F16" s="101">
        <f t="shared" si="1"/>
        <v>4.4163175858878004E-3</v>
      </c>
      <c r="G16" s="13">
        <f t="shared" si="2"/>
        <v>170.02822705668032</v>
      </c>
      <c r="H16" s="102">
        <f t="shared" si="3"/>
        <v>1.546976863403515E-3</v>
      </c>
      <c r="J16" s="106"/>
    </row>
    <row r="17" spans="2:10" x14ac:dyDescent="0.25">
      <c r="B17" s="21" t="s">
        <v>5</v>
      </c>
      <c r="C17" s="22">
        <v>7430</v>
      </c>
      <c r="D17" s="23">
        <v>5.9743954480796588E-3</v>
      </c>
      <c r="E17" s="100">
        <f t="shared" si="0"/>
        <v>44.389758179231862</v>
      </c>
      <c r="F17" s="101">
        <f t="shared" si="1"/>
        <v>1.752777811111292E-4</v>
      </c>
      <c r="G17" s="13">
        <f t="shared" si="2"/>
        <v>6.7481945727784742</v>
      </c>
      <c r="H17" s="102">
        <f t="shared" si="3"/>
        <v>9.0823614707651068E-4</v>
      </c>
      <c r="J17" s="106"/>
    </row>
    <row r="18" spans="2:10" x14ac:dyDescent="0.25">
      <c r="B18" s="21" t="s">
        <v>4</v>
      </c>
      <c r="C18" s="22">
        <v>7295</v>
      </c>
      <c r="D18" s="23">
        <v>5.7430007178750899E-3</v>
      </c>
      <c r="E18" s="100">
        <f t="shared" si="0"/>
        <v>41.895190236898785</v>
      </c>
      <c r="F18" s="101">
        <f t="shared" si="1"/>
        <v>1.6542770866879574E-4</v>
      </c>
      <c r="G18" s="13">
        <f t="shared" si="2"/>
        <v>6.3689667837486361</v>
      </c>
      <c r="H18" s="102">
        <f t="shared" si="3"/>
        <v>8.7305918899912769E-4</v>
      </c>
      <c r="J18" s="106"/>
    </row>
    <row r="19" spans="2:10" x14ac:dyDescent="0.25">
      <c r="B19" s="21" t="s">
        <v>12</v>
      </c>
      <c r="C19" s="22">
        <v>24245</v>
      </c>
      <c r="D19" s="23">
        <v>0.1747820642489043</v>
      </c>
      <c r="E19" s="100">
        <f t="shared" si="0"/>
        <v>4237.5911477146847</v>
      </c>
      <c r="F19" s="101">
        <f t="shared" si="1"/>
        <v>1.6732588869454529E-2</v>
      </c>
      <c r="G19" s="13">
        <f t="shared" si="2"/>
        <v>644.20467147399938</v>
      </c>
      <c r="H19" s="102">
        <f t="shared" si="3"/>
        <v>2.6570619569973166E-2</v>
      </c>
      <c r="J19" s="106"/>
    </row>
    <row r="20" spans="2:10" x14ac:dyDescent="0.25">
      <c r="B20" s="21" t="s">
        <v>30</v>
      </c>
      <c r="C20" s="22">
        <v>210975</v>
      </c>
      <c r="D20" s="23">
        <v>3.7016361283859926E-2</v>
      </c>
      <c r="E20" s="100">
        <f t="shared" si="0"/>
        <v>7809.5268218623478</v>
      </c>
      <c r="F20" s="101">
        <f t="shared" si="1"/>
        <v>3.083676480815575E-2</v>
      </c>
      <c r="G20" s="13">
        <f t="shared" si="2"/>
        <v>1187.2154451139963</v>
      </c>
      <c r="H20" s="102">
        <f t="shared" si="3"/>
        <v>5.6272802233155415E-3</v>
      </c>
      <c r="J20" s="106"/>
    </row>
    <row r="21" spans="2:10" x14ac:dyDescent="0.25">
      <c r="B21" s="21" t="s">
        <v>10</v>
      </c>
      <c r="C21" s="22">
        <v>22445</v>
      </c>
      <c r="D21" s="23">
        <v>6.6293415250458301E-2</v>
      </c>
      <c r="E21" s="100">
        <f t="shared" si="0"/>
        <v>1487.9557052965365</v>
      </c>
      <c r="F21" s="101">
        <f t="shared" si="1"/>
        <v>5.8753547014825224E-3</v>
      </c>
      <c r="G21" s="13">
        <f t="shared" si="2"/>
        <v>226.20115600707712</v>
      </c>
      <c r="H21" s="102">
        <f t="shared" si="3"/>
        <v>1.0078019871110587E-2</v>
      </c>
      <c r="J21" s="106"/>
    </row>
    <row r="22" spans="2:10" x14ac:dyDescent="0.25">
      <c r="B22" s="21" t="s">
        <v>24</v>
      </c>
      <c r="C22" s="22">
        <v>83720</v>
      </c>
      <c r="D22" s="23">
        <v>1.1807308800652845E-2</v>
      </c>
      <c r="E22" s="100">
        <f t="shared" si="0"/>
        <v>988.50789279065623</v>
      </c>
      <c r="F22" s="101">
        <f t="shared" si="1"/>
        <v>3.9032307713775072E-3</v>
      </c>
      <c r="G22" s="13">
        <f t="shared" si="2"/>
        <v>150.27438469803403</v>
      </c>
      <c r="H22" s="102">
        <f t="shared" si="3"/>
        <v>1.7949639834930007E-3</v>
      </c>
      <c r="J22" s="106"/>
    </row>
    <row r="23" spans="2:10" x14ac:dyDescent="0.25">
      <c r="B23" s="21" t="s">
        <v>21</v>
      </c>
      <c r="C23" s="22">
        <v>67110</v>
      </c>
      <c r="D23" s="23">
        <v>3.5354020559131519E-2</v>
      </c>
      <c r="E23" s="100">
        <f t="shared" si="0"/>
        <v>2372.6083197233161</v>
      </c>
      <c r="F23" s="101">
        <f t="shared" si="1"/>
        <v>9.3685016270594092E-3</v>
      </c>
      <c r="G23" s="13">
        <f t="shared" si="2"/>
        <v>360.68731264178723</v>
      </c>
      <c r="H23" s="102">
        <f t="shared" si="3"/>
        <v>5.3745688070598605E-3</v>
      </c>
      <c r="J23" s="106"/>
    </row>
    <row r="24" spans="2:10" x14ac:dyDescent="0.25">
      <c r="B24" s="21" t="s">
        <v>6</v>
      </c>
      <c r="C24" s="22">
        <v>8010</v>
      </c>
      <c r="D24" s="23">
        <v>2.0015801948907033E-2</v>
      </c>
      <c r="E24" s="100">
        <f t="shared" si="0"/>
        <v>160.32657361074533</v>
      </c>
      <c r="F24" s="101">
        <f t="shared" si="1"/>
        <v>6.3306688813612828E-4</v>
      </c>
      <c r="G24" s="13">
        <f t="shared" si="2"/>
        <v>24.37307519324094</v>
      </c>
      <c r="H24" s="102">
        <f t="shared" si="3"/>
        <v>3.0428308605793932E-3</v>
      </c>
      <c r="J24" s="106"/>
    </row>
    <row r="25" spans="2:10" x14ac:dyDescent="0.25">
      <c r="B25" s="21" t="s">
        <v>32</v>
      </c>
      <c r="C25" s="22">
        <v>362150</v>
      </c>
      <c r="D25" s="23">
        <v>3.0675030495206184E-2</v>
      </c>
      <c r="E25" s="100">
        <f t="shared" si="0"/>
        <v>11108.96229383892</v>
      </c>
      <c r="F25" s="101">
        <f t="shared" si="1"/>
        <v>4.3864944103756777E-2</v>
      </c>
      <c r="G25" s="13">
        <f t="shared" si="2"/>
        <v>1688.800347994636</v>
      </c>
      <c r="H25" s="102">
        <f t="shared" si="3"/>
        <v>4.6632620405761037E-3</v>
      </c>
      <c r="J25" s="106"/>
    </row>
    <row r="26" spans="2:10" x14ac:dyDescent="0.25">
      <c r="B26" s="21" t="s">
        <v>18</v>
      </c>
      <c r="C26" s="22">
        <v>47225</v>
      </c>
      <c r="D26" s="23">
        <v>3.1207846544273988E-2</v>
      </c>
      <c r="E26" s="100">
        <f t="shared" si="0"/>
        <v>1473.7905530533392</v>
      </c>
      <c r="F26" s="101">
        <f t="shared" si="1"/>
        <v>5.8194220594468514E-3</v>
      </c>
      <c r="G26" s="13">
        <f t="shared" si="2"/>
        <v>224.04774928870378</v>
      </c>
      <c r="H26" s="102">
        <f t="shared" si="3"/>
        <v>4.7442614989667295E-3</v>
      </c>
      <c r="J26" s="106"/>
    </row>
    <row r="27" spans="2:10" x14ac:dyDescent="0.25">
      <c r="B27" s="21" t="s">
        <v>28</v>
      </c>
      <c r="C27" s="22">
        <v>120860</v>
      </c>
      <c r="D27" s="23">
        <v>2.527984476967151E-2</v>
      </c>
      <c r="E27" s="100">
        <f t="shared" si="0"/>
        <v>3055.3220388624986</v>
      </c>
      <c r="F27" s="101">
        <f t="shared" si="1"/>
        <v>1.2064270893061599E-2</v>
      </c>
      <c r="G27" s="13">
        <f t="shared" si="2"/>
        <v>464.47442938287156</v>
      </c>
      <c r="H27" s="102">
        <f t="shared" si="3"/>
        <v>3.843078184534764E-3</v>
      </c>
      <c r="J27" s="106"/>
    </row>
    <row r="28" spans="2:10" x14ac:dyDescent="0.25">
      <c r="B28" s="21" t="s">
        <v>16</v>
      </c>
      <c r="C28" s="22">
        <v>31480</v>
      </c>
      <c r="D28" s="23">
        <v>0.10456768286338571</v>
      </c>
      <c r="E28" s="100">
        <f t="shared" si="0"/>
        <v>3291.7906565393819</v>
      </c>
      <c r="F28" s="101">
        <f t="shared" si="1"/>
        <v>1.2997992911583694E-2</v>
      </c>
      <c r="G28" s="13">
        <f t="shared" si="2"/>
        <v>500.42272709597222</v>
      </c>
      <c r="H28" s="102">
        <f t="shared" si="3"/>
        <v>1.5896528814992764E-2</v>
      </c>
      <c r="J28" s="106"/>
    </row>
    <row r="29" spans="2:10" x14ac:dyDescent="0.25">
      <c r="B29" s="21" t="s">
        <v>31</v>
      </c>
      <c r="C29" s="22">
        <v>329770</v>
      </c>
      <c r="D29" s="23">
        <v>0.11207377753730143</v>
      </c>
      <c r="E29" s="100">
        <f t="shared" si="0"/>
        <v>36958.569618475893</v>
      </c>
      <c r="F29" s="101">
        <f t="shared" si="1"/>
        <v>0.14593492601629993</v>
      </c>
      <c r="G29" s="13">
        <f t="shared" si="2"/>
        <v>5618.4946516275468</v>
      </c>
      <c r="H29" s="102">
        <f t="shared" si="3"/>
        <v>1.7037616070678191E-2</v>
      </c>
      <c r="J29" s="106"/>
    </row>
    <row r="30" spans="2:10" x14ac:dyDescent="0.25">
      <c r="B30" s="21" t="s">
        <v>7</v>
      </c>
      <c r="C30" s="22">
        <v>11630</v>
      </c>
      <c r="D30" s="23">
        <v>0.13739130434782609</v>
      </c>
      <c r="E30" s="100">
        <f t="shared" si="0"/>
        <v>1597.8608695652174</v>
      </c>
      <c r="F30" s="101">
        <f t="shared" si="1"/>
        <v>6.3093271788248603E-3</v>
      </c>
      <c r="G30" s="13">
        <f t="shared" si="2"/>
        <v>242.90909638475713</v>
      </c>
      <c r="H30" s="102">
        <f t="shared" si="3"/>
        <v>2.0886422732997175E-2</v>
      </c>
      <c r="J30" s="106"/>
    </row>
    <row r="31" spans="2:10" x14ac:dyDescent="0.25">
      <c r="B31" s="21" t="s">
        <v>35</v>
      </c>
      <c r="C31" s="22">
        <v>777490</v>
      </c>
      <c r="D31" s="23">
        <v>9.3043382616850565E-2</v>
      </c>
      <c r="E31" s="100">
        <f t="shared" si="0"/>
        <v>72340.299550775148</v>
      </c>
      <c r="F31" s="101">
        <f t="shared" si="1"/>
        <v>0.28564352927938608</v>
      </c>
      <c r="G31" s="13">
        <f t="shared" si="2"/>
        <v>10997.275877256365</v>
      </c>
      <c r="H31" s="102">
        <f t="shared" si="3"/>
        <v>1.4144588196962488E-2</v>
      </c>
      <c r="J31" s="106"/>
    </row>
    <row r="32" spans="2:10" x14ac:dyDescent="0.25">
      <c r="B32" s="21" t="s">
        <v>15</v>
      </c>
      <c r="C32" s="22">
        <v>30135</v>
      </c>
      <c r="D32" s="23">
        <v>7.6551317051575293E-2</v>
      </c>
      <c r="E32" s="100">
        <f t="shared" si="0"/>
        <v>2306.8739393492215</v>
      </c>
      <c r="F32" s="101">
        <f t="shared" si="1"/>
        <v>9.1089422870836208E-3</v>
      </c>
      <c r="G32" s="13">
        <f t="shared" si="2"/>
        <v>350.69427805271943</v>
      </c>
      <c r="H32" s="102">
        <f t="shared" si="3"/>
        <v>1.1637440784891966E-2</v>
      </c>
      <c r="J32" s="106"/>
    </row>
    <row r="33" spans="2:10" x14ac:dyDescent="0.25">
      <c r="B33" s="21" t="s">
        <v>22</v>
      </c>
      <c r="C33" s="22">
        <v>78570</v>
      </c>
      <c r="D33" s="23">
        <v>4.5450691087933523E-2</v>
      </c>
      <c r="E33" s="100">
        <f t="shared" si="0"/>
        <v>3571.0607987789367</v>
      </c>
      <c r="F33" s="101">
        <f t="shared" si="1"/>
        <v>1.4100721398292148E-2</v>
      </c>
      <c r="G33" s="13">
        <f t="shared" si="2"/>
        <v>542.87777383424771</v>
      </c>
      <c r="H33" s="102">
        <f t="shared" si="3"/>
        <v>6.9094791120560993E-3</v>
      </c>
      <c r="J33" s="106"/>
    </row>
    <row r="34" spans="2:10" x14ac:dyDescent="0.25">
      <c r="B34" s="21" t="s">
        <v>13</v>
      </c>
      <c r="C34" s="22">
        <v>25690</v>
      </c>
      <c r="D34" s="23">
        <v>3.4153062502609494E-2</v>
      </c>
      <c r="E34" s="100">
        <f t="shared" si="0"/>
        <v>877.39217569203788</v>
      </c>
      <c r="F34" s="101">
        <f t="shared" si="1"/>
        <v>3.4644782947143241E-3</v>
      </c>
      <c r="G34" s="13">
        <f t="shared" si="2"/>
        <v>133.38241434650149</v>
      </c>
      <c r="H34" s="102">
        <f t="shared" si="3"/>
        <v>5.1919974443947643E-3</v>
      </c>
      <c r="J34" s="106"/>
    </row>
    <row r="35" spans="2:10" x14ac:dyDescent="0.25">
      <c r="B35" s="21" t="s">
        <v>23</v>
      </c>
      <c r="C35" s="22">
        <v>79155</v>
      </c>
      <c r="D35" s="23">
        <v>8.1320244700526387E-2</v>
      </c>
      <c r="E35" s="100">
        <f t="shared" si="0"/>
        <v>6436.9039692701663</v>
      </c>
      <c r="F35" s="101">
        <f t="shared" si="1"/>
        <v>2.5416814401276796E-2</v>
      </c>
      <c r="G35" s="13">
        <f t="shared" si="2"/>
        <v>978.54735444915661</v>
      </c>
      <c r="H35" s="102">
        <f t="shared" si="3"/>
        <v>1.2362419991777609E-2</v>
      </c>
      <c r="J35" s="106"/>
    </row>
    <row r="36" spans="2:10" x14ac:dyDescent="0.25">
      <c r="B36" s="21" t="s">
        <v>14</v>
      </c>
      <c r="C36" s="22">
        <v>26625</v>
      </c>
      <c r="D36" s="23">
        <v>2.2922636103151862E-2</v>
      </c>
      <c r="E36" s="100">
        <f t="shared" si="0"/>
        <v>610.31518624641831</v>
      </c>
      <c r="F36" s="101">
        <f t="shared" si="1"/>
        <v>2.4098957960475395E-3</v>
      </c>
      <c r="G36" s="13">
        <f t="shared" si="2"/>
        <v>92.780988147830271</v>
      </c>
      <c r="H36" s="102">
        <f t="shared" si="3"/>
        <v>3.4847319492142823E-3</v>
      </c>
      <c r="J36" s="106"/>
    </row>
    <row r="37" spans="2:10" x14ac:dyDescent="0.25">
      <c r="B37" s="21" t="s">
        <v>3</v>
      </c>
      <c r="C37" s="22">
        <v>7100</v>
      </c>
      <c r="D37" s="23">
        <v>5.145278450363196E-3</v>
      </c>
      <c r="E37" s="100">
        <f t="shared" si="0"/>
        <v>36.531476997578693</v>
      </c>
      <c r="F37" s="101">
        <f t="shared" si="1"/>
        <v>1.4424850441838229E-4</v>
      </c>
      <c r="G37" s="13">
        <f t="shared" si="2"/>
        <v>5.5535674201077176</v>
      </c>
      <c r="H37" s="102">
        <f t="shared" si="3"/>
        <v>7.8219259438136869E-4</v>
      </c>
      <c r="J37" s="106"/>
    </row>
    <row r="38" spans="2:10" x14ac:dyDescent="0.25">
      <c r="B38" s="21" t="s">
        <v>34</v>
      </c>
      <c r="C38" s="22">
        <v>570510</v>
      </c>
      <c r="D38" s="23">
        <v>9.7199637931348712E-2</v>
      </c>
      <c r="E38" s="100">
        <f t="shared" si="0"/>
        <v>55453.365436213753</v>
      </c>
      <c r="F38" s="101">
        <f t="shared" si="1"/>
        <v>0.21896363592608167</v>
      </c>
      <c r="G38" s="13">
        <f t="shared" si="2"/>
        <v>8430.0999831541449</v>
      </c>
      <c r="H38" s="102">
        <f t="shared" si="3"/>
        <v>1.4776428078656194E-2</v>
      </c>
      <c r="J38" s="106"/>
    </row>
    <row r="39" spans="2:10" x14ac:dyDescent="0.25">
      <c r="B39" s="21" t="s">
        <v>2</v>
      </c>
      <c r="C39" s="22">
        <v>1445</v>
      </c>
      <c r="D39" s="23">
        <v>7.2405470635559131E-3</v>
      </c>
      <c r="E39" s="100">
        <f t="shared" si="0"/>
        <v>10.462590506838295</v>
      </c>
      <c r="F39" s="101">
        <f t="shared" si="1"/>
        <v>4.1312674903711639E-5</v>
      </c>
      <c r="G39" s="13">
        <f t="shared" si="2"/>
        <v>1.5905379837928981</v>
      </c>
      <c r="H39" s="102">
        <f t="shared" si="3"/>
        <v>1.1007183278843586E-3</v>
      </c>
      <c r="J39" s="106"/>
    </row>
    <row r="40" spans="2:10" x14ac:dyDescent="0.25">
      <c r="B40" s="21" t="s">
        <v>26</v>
      </c>
      <c r="C40" s="22">
        <v>103630</v>
      </c>
      <c r="D40" s="23">
        <v>6.6194159465786384E-2</v>
      </c>
      <c r="E40" s="100">
        <f t="shared" si="0"/>
        <v>6859.7007454394434</v>
      </c>
      <c r="F40" s="101">
        <f t="shared" si="1"/>
        <v>2.7086273389736914E-2</v>
      </c>
      <c r="G40" s="13">
        <f t="shared" si="2"/>
        <v>1042.8215255048713</v>
      </c>
      <c r="H40" s="102">
        <f t="shared" si="3"/>
        <v>1.00629308646615E-2</v>
      </c>
      <c r="J40" s="106"/>
    </row>
    <row r="41" spans="2:10" x14ac:dyDescent="0.25">
      <c r="B41" s="7" t="s">
        <v>36</v>
      </c>
      <c r="C41" s="38">
        <f>SUM(C7:C40)</f>
        <v>4013845</v>
      </c>
      <c r="D41" s="38"/>
      <c r="E41" s="38">
        <f>SUM(E7:E40)</f>
        <v>253253.76609536138</v>
      </c>
      <c r="F41" s="107">
        <f>SUM(F7:F40)</f>
        <v>1</v>
      </c>
      <c r="G41" s="104">
        <f>SUM(G7:G40)</f>
        <v>38500.000000000007</v>
      </c>
      <c r="H41" s="105">
        <f t="shared" ref="H41" si="4">G41/C41</f>
        <v>9.5918003809315026E-3</v>
      </c>
    </row>
  </sheetData>
  <sortState ref="B7:H40">
    <sortCondition ref="B7:B40"/>
  </sortState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view="pageBreakPreview" zoomScale="115" zoomScaleNormal="100" zoomScaleSheetLayoutView="115" workbookViewId="0">
      <selection activeCell="L45" sqref="L43:L45"/>
    </sheetView>
  </sheetViews>
  <sheetFormatPr defaultRowHeight="15" x14ac:dyDescent="0.2"/>
  <cols>
    <col min="1" max="1" width="17.28515625" style="44" customWidth="1"/>
    <col min="2" max="2" width="14.85546875" style="44" customWidth="1"/>
    <col min="3" max="3" width="14.28515625" style="44" customWidth="1"/>
    <col min="4" max="4" width="14.140625" style="44" customWidth="1"/>
    <col min="5" max="5" width="14" style="44" customWidth="1"/>
    <col min="6" max="6" width="15.5703125" style="44" customWidth="1"/>
    <col min="7" max="7" width="14.28515625" style="44" customWidth="1"/>
    <col min="8" max="8" width="13.42578125" style="44" customWidth="1"/>
    <col min="9" max="9" width="12.85546875" style="44" customWidth="1"/>
    <col min="10" max="10" width="13.140625" style="44" customWidth="1"/>
    <col min="11" max="11" width="13" style="44" customWidth="1"/>
    <col min="12" max="12" width="18.140625" style="44" customWidth="1"/>
    <col min="13" max="16384" width="9.140625" style="44"/>
  </cols>
  <sheetData>
    <row r="1" spans="1:12" ht="20.25" x14ac:dyDescent="0.3">
      <c r="A1" s="42" t="s">
        <v>51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>
        <f ca="1">NOW()</f>
        <v>43137.631786689817</v>
      </c>
    </row>
    <row r="2" spans="1:12" ht="20.25" x14ac:dyDescent="0.3">
      <c r="A2" s="42" t="s">
        <v>52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3"/>
    </row>
    <row r="3" spans="1:12" ht="20.25" x14ac:dyDescent="0.3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3"/>
    </row>
    <row r="4" spans="1:12" ht="18" x14ac:dyDescent="0.25">
      <c r="A4" s="45"/>
      <c r="B4" s="45"/>
      <c r="C4" s="46" t="s">
        <v>53</v>
      </c>
      <c r="D4" s="45"/>
      <c r="E4" s="47" t="s">
        <v>54</v>
      </c>
      <c r="F4" s="48" t="s">
        <v>55</v>
      </c>
      <c r="G4" s="49"/>
      <c r="H4" s="45"/>
      <c r="I4" s="45"/>
      <c r="J4" s="45"/>
      <c r="K4" s="45"/>
      <c r="L4" s="50"/>
    </row>
    <row r="5" spans="1:12" ht="16.5" thickBot="1" x14ac:dyDescent="0.3">
      <c r="A5" s="51"/>
      <c r="B5" s="230" t="s">
        <v>56</v>
      </c>
      <c r="C5" s="231"/>
      <c r="D5" s="232"/>
      <c r="E5" s="233" t="s">
        <v>57</v>
      </c>
      <c r="F5" s="234"/>
      <c r="G5" s="235"/>
      <c r="H5" s="51"/>
      <c r="I5" s="51"/>
      <c r="J5" s="51"/>
      <c r="K5" s="51"/>
      <c r="L5" s="52" t="s">
        <v>58</v>
      </c>
    </row>
    <row r="6" spans="1:12" ht="16.5" thickTop="1" x14ac:dyDescent="0.2">
      <c r="A6" s="45"/>
      <c r="B6" s="50"/>
      <c r="C6" s="50"/>
      <c r="D6" s="53" t="s">
        <v>59</v>
      </c>
      <c r="E6" s="54"/>
      <c r="F6" s="55"/>
      <c r="G6" s="56" t="s">
        <v>59</v>
      </c>
      <c r="H6" s="57" t="s">
        <v>60</v>
      </c>
      <c r="I6" s="57" t="s">
        <v>61</v>
      </c>
      <c r="J6" s="57" t="s">
        <v>62</v>
      </c>
      <c r="K6" s="57" t="s">
        <v>60</v>
      </c>
      <c r="L6" s="52" t="s">
        <v>63</v>
      </c>
    </row>
    <row r="7" spans="1:12" ht="15.75" x14ac:dyDescent="0.2">
      <c r="A7" s="45"/>
      <c r="B7" s="58" t="s">
        <v>64</v>
      </c>
      <c r="C7" s="59" t="s">
        <v>65</v>
      </c>
      <c r="D7" s="53" t="s">
        <v>66</v>
      </c>
      <c r="E7" s="60" t="s">
        <v>64</v>
      </c>
      <c r="F7" s="55" t="s">
        <v>67</v>
      </c>
      <c r="G7" s="56" t="s">
        <v>66</v>
      </c>
      <c r="H7" s="57" t="s">
        <v>68</v>
      </c>
      <c r="I7" s="57" t="s">
        <v>69</v>
      </c>
      <c r="J7" s="57" t="s">
        <v>70</v>
      </c>
      <c r="K7" s="57" t="s">
        <v>68</v>
      </c>
      <c r="L7" s="52" t="s">
        <v>71</v>
      </c>
    </row>
    <row r="8" spans="1:12" ht="26.25" thickBot="1" x14ac:dyDescent="0.25">
      <c r="A8" s="45"/>
      <c r="B8" s="61" t="s">
        <v>72</v>
      </c>
      <c r="C8" s="59"/>
      <c r="D8" s="53" t="s">
        <v>73</v>
      </c>
      <c r="E8" s="62" t="s">
        <v>72</v>
      </c>
      <c r="F8" s="55"/>
      <c r="G8" s="56" t="s">
        <v>73</v>
      </c>
      <c r="H8" s="57" t="s">
        <v>74</v>
      </c>
      <c r="I8" s="63" t="s">
        <v>75</v>
      </c>
      <c r="J8" s="64"/>
      <c r="K8" s="57" t="s">
        <v>76</v>
      </c>
      <c r="L8" s="65" t="s">
        <v>77</v>
      </c>
    </row>
    <row r="9" spans="1:12" ht="15.75" x14ac:dyDescent="0.25">
      <c r="A9" s="66"/>
      <c r="B9" s="66"/>
      <c r="C9" s="66"/>
      <c r="D9" s="67"/>
      <c r="E9" s="68"/>
      <c r="F9" s="69"/>
      <c r="G9" s="70"/>
      <c r="H9" s="66"/>
      <c r="I9" s="66"/>
      <c r="J9" s="66"/>
      <c r="K9" s="66"/>
      <c r="L9" s="71"/>
    </row>
    <row r="10" spans="1:12" ht="15.75" x14ac:dyDescent="0.25">
      <c r="A10" s="45" t="s">
        <v>78</v>
      </c>
      <c r="B10" s="72">
        <v>16700</v>
      </c>
      <c r="C10" s="73">
        <v>6630</v>
      </c>
      <c r="D10" s="74">
        <f t="shared" ref="D10:D43" si="0">C10/B10*100</f>
        <v>39.700598802395213</v>
      </c>
      <c r="E10" s="75">
        <v>16750</v>
      </c>
      <c r="F10" s="76">
        <v>6630</v>
      </c>
      <c r="G10" s="77">
        <f t="shared" ref="G10:G45" si="1">F10/E10*100</f>
        <v>39.582089552238806</v>
      </c>
      <c r="H10" s="45">
        <f t="shared" ref="H10:H45" si="2">IF(G10&gt;50,1,0)</f>
        <v>0</v>
      </c>
      <c r="I10" s="45">
        <v>3068.3</v>
      </c>
      <c r="J10" s="78">
        <f t="shared" ref="J10:J45" si="3">E10/I10</f>
        <v>5.4590489847798453</v>
      </c>
      <c r="K10" s="45">
        <f t="shared" ref="K10:K45" si="4">IF(J10&lt;100,1,0)</f>
        <v>1</v>
      </c>
      <c r="L10" s="79">
        <f t="shared" ref="L10:L45" si="5">H10+K10+1</f>
        <v>2</v>
      </c>
    </row>
    <row r="11" spans="1:12" ht="15.75" x14ac:dyDescent="0.25">
      <c r="A11" s="45" t="s">
        <v>79</v>
      </c>
      <c r="B11" s="80">
        <v>76600</v>
      </c>
      <c r="C11" s="81">
        <v>19215</v>
      </c>
      <c r="D11" s="74">
        <f t="shared" si="0"/>
        <v>25.08485639686684</v>
      </c>
      <c r="E11" s="75">
        <v>78300</v>
      </c>
      <c r="F11" s="76">
        <f>535+610+3880+18695</f>
        <v>23720</v>
      </c>
      <c r="G11" s="77">
        <f t="shared" si="1"/>
        <v>30.29374201787995</v>
      </c>
      <c r="H11" s="45">
        <f t="shared" si="2"/>
        <v>0</v>
      </c>
      <c r="I11" s="45">
        <v>676.5</v>
      </c>
      <c r="J11" s="78">
        <f t="shared" si="3"/>
        <v>115.74279379157429</v>
      </c>
      <c r="K11" s="45">
        <f t="shared" si="4"/>
        <v>0</v>
      </c>
      <c r="L11" s="79">
        <f t="shared" si="5"/>
        <v>1</v>
      </c>
    </row>
    <row r="12" spans="1:12" ht="15.75" x14ac:dyDescent="0.25">
      <c r="A12" s="45" t="s">
        <v>80</v>
      </c>
      <c r="B12" s="80">
        <v>323600</v>
      </c>
      <c r="C12" s="81">
        <v>172262</v>
      </c>
      <c r="D12" s="74">
        <f t="shared" si="0"/>
        <v>53.233003708281835</v>
      </c>
      <c r="E12" s="75">
        <v>340000</v>
      </c>
      <c r="F12" s="76">
        <f>140+2380+635+325+176290</f>
        <v>179770</v>
      </c>
      <c r="G12" s="77">
        <f t="shared" si="1"/>
        <v>52.873529411764707</v>
      </c>
      <c r="H12" s="45">
        <f t="shared" si="2"/>
        <v>1</v>
      </c>
      <c r="I12" s="45">
        <v>1868.3</v>
      </c>
      <c r="J12" s="78">
        <f t="shared" si="3"/>
        <v>181.98362147406735</v>
      </c>
      <c r="K12" s="45">
        <f t="shared" si="4"/>
        <v>0</v>
      </c>
      <c r="L12" s="79">
        <f t="shared" si="5"/>
        <v>2</v>
      </c>
    </row>
    <row r="13" spans="1:12" ht="15.75" x14ac:dyDescent="0.25">
      <c r="A13" s="45" t="s">
        <v>81</v>
      </c>
      <c r="B13" s="80">
        <v>34700</v>
      </c>
      <c r="C13" s="81">
        <v>14670</v>
      </c>
      <c r="D13" s="74">
        <f t="shared" si="0"/>
        <v>42.27665706051873</v>
      </c>
      <c r="E13" s="75">
        <v>35700</v>
      </c>
      <c r="F13" s="76">
        <f>1600+985+13245</f>
        <v>15830</v>
      </c>
      <c r="G13" s="77">
        <f t="shared" si="1"/>
        <v>44.34173669467787</v>
      </c>
      <c r="H13" s="45">
        <f t="shared" si="2"/>
        <v>0</v>
      </c>
      <c r="I13" s="45">
        <v>827.3</v>
      </c>
      <c r="J13" s="78">
        <f t="shared" si="3"/>
        <v>43.152423546476491</v>
      </c>
      <c r="K13" s="45">
        <f t="shared" si="4"/>
        <v>1</v>
      </c>
      <c r="L13" s="79">
        <f t="shared" si="5"/>
        <v>2</v>
      </c>
    </row>
    <row r="14" spans="1:12" ht="15.75" x14ac:dyDescent="0.25">
      <c r="A14" s="45" t="s">
        <v>82</v>
      </c>
      <c r="B14" s="80">
        <v>42300</v>
      </c>
      <c r="C14" s="81">
        <v>27670</v>
      </c>
      <c r="D14" s="74">
        <f t="shared" si="0"/>
        <v>65.413711583924353</v>
      </c>
      <c r="E14" s="75">
        <v>43700</v>
      </c>
      <c r="F14" s="76">
        <f>1530+1595+70+1690+2240+21450</f>
        <v>28575</v>
      </c>
      <c r="G14" s="77">
        <f t="shared" si="1"/>
        <v>65.389016018306634</v>
      </c>
      <c r="H14" s="45">
        <f t="shared" si="2"/>
        <v>1</v>
      </c>
      <c r="I14" s="45">
        <v>656.8</v>
      </c>
      <c r="J14" s="78">
        <f t="shared" si="3"/>
        <v>66.534713763702811</v>
      </c>
      <c r="K14" s="45">
        <f t="shared" si="4"/>
        <v>1</v>
      </c>
      <c r="L14" s="79">
        <f t="shared" si="5"/>
        <v>3</v>
      </c>
    </row>
    <row r="15" spans="1:12" ht="15.75" x14ac:dyDescent="0.25">
      <c r="A15" s="45" t="s">
        <v>83</v>
      </c>
      <c r="B15" s="80">
        <v>61400</v>
      </c>
      <c r="C15" s="81">
        <v>26580</v>
      </c>
      <c r="D15" s="74">
        <f t="shared" si="0"/>
        <v>43.289902280130292</v>
      </c>
      <c r="E15" s="75">
        <v>62800</v>
      </c>
      <c r="F15" s="76">
        <f>1370+2445+735+26285</f>
        <v>30835</v>
      </c>
      <c r="G15" s="77">
        <f t="shared" si="1"/>
        <v>49.10031847133758</v>
      </c>
      <c r="H15" s="45">
        <f t="shared" si="2"/>
        <v>0</v>
      </c>
      <c r="I15" s="45">
        <v>1600.5</v>
      </c>
      <c r="J15" s="78">
        <f t="shared" si="3"/>
        <v>39.23773820681037</v>
      </c>
      <c r="K15" s="45">
        <f t="shared" si="4"/>
        <v>1</v>
      </c>
      <c r="L15" s="79">
        <f t="shared" si="5"/>
        <v>2</v>
      </c>
    </row>
    <row r="16" spans="1:12" ht="15.75" x14ac:dyDescent="0.25">
      <c r="A16" s="45" t="s">
        <v>84</v>
      </c>
      <c r="B16" s="80">
        <v>16650</v>
      </c>
      <c r="C16" s="81">
        <v>9670</v>
      </c>
      <c r="D16" s="74">
        <f t="shared" si="0"/>
        <v>58.078078078078079</v>
      </c>
      <c r="E16" s="75">
        <v>19300</v>
      </c>
      <c r="F16" s="76">
        <v>11890</v>
      </c>
      <c r="G16" s="77">
        <f t="shared" si="1"/>
        <v>61.606217616580302</v>
      </c>
      <c r="H16" s="45">
        <f t="shared" si="2"/>
        <v>1</v>
      </c>
      <c r="I16" s="45">
        <v>2979.5</v>
      </c>
      <c r="J16" s="78">
        <f t="shared" si="3"/>
        <v>6.4775969122335963</v>
      </c>
      <c r="K16" s="45">
        <f t="shared" si="4"/>
        <v>1</v>
      </c>
      <c r="L16" s="79">
        <f t="shared" si="5"/>
        <v>3</v>
      </c>
    </row>
    <row r="17" spans="1:12" ht="15.75" x14ac:dyDescent="0.25">
      <c r="A17" s="45" t="s">
        <v>85</v>
      </c>
      <c r="B17" s="80">
        <v>22000</v>
      </c>
      <c r="C17" s="81">
        <v>16600</v>
      </c>
      <c r="D17" s="74">
        <f t="shared" si="0"/>
        <v>75.454545454545453</v>
      </c>
      <c r="E17" s="75">
        <v>21200</v>
      </c>
      <c r="F17" s="76">
        <f>1900+1155+12670</f>
        <v>15725</v>
      </c>
      <c r="G17" s="77">
        <f t="shared" si="1"/>
        <v>74.174528301886795</v>
      </c>
      <c r="H17" s="45">
        <f t="shared" si="2"/>
        <v>1</v>
      </c>
      <c r="I17" s="45">
        <v>1627.4</v>
      </c>
      <c r="J17" s="78">
        <f t="shared" si="3"/>
        <v>13.026914096104214</v>
      </c>
      <c r="K17" s="45">
        <f t="shared" si="4"/>
        <v>1</v>
      </c>
      <c r="L17" s="79">
        <f t="shared" si="5"/>
        <v>3</v>
      </c>
    </row>
    <row r="18" spans="1:12" x14ac:dyDescent="0.2">
      <c r="A18" s="82" t="s">
        <v>86</v>
      </c>
      <c r="B18" s="83">
        <v>104900</v>
      </c>
      <c r="C18" s="84">
        <v>61605</v>
      </c>
      <c r="D18" s="85">
        <f t="shared" si="0"/>
        <v>58.727359389895142</v>
      </c>
      <c r="E18" s="86">
        <v>116600</v>
      </c>
      <c r="F18" s="87">
        <f>975+49055</f>
        <v>50030</v>
      </c>
      <c r="G18" s="88">
        <f t="shared" si="1"/>
        <v>42.907375643224697</v>
      </c>
      <c r="H18" s="82">
        <f t="shared" si="2"/>
        <v>0</v>
      </c>
      <c r="I18" s="82">
        <v>3018.3</v>
      </c>
      <c r="J18" s="89">
        <f t="shared" si="3"/>
        <v>38.63101746015969</v>
      </c>
      <c r="K18" s="82">
        <f t="shared" si="4"/>
        <v>1</v>
      </c>
      <c r="L18" s="90">
        <f t="shared" si="5"/>
        <v>2</v>
      </c>
    </row>
    <row r="19" spans="1:12" ht="15.75" x14ac:dyDescent="0.25">
      <c r="A19" s="45" t="s">
        <v>87</v>
      </c>
      <c r="B19" s="80">
        <v>100300</v>
      </c>
      <c r="C19" s="81">
        <v>60445</v>
      </c>
      <c r="D19" s="74">
        <f t="shared" si="0"/>
        <v>60.264207377866398</v>
      </c>
      <c r="E19" s="75">
        <v>100500</v>
      </c>
      <c r="F19" s="76">
        <f>1295+1020+145+860+955+1015+1055+54870</f>
        <v>61215</v>
      </c>
      <c r="G19" s="77">
        <f t="shared" si="1"/>
        <v>60.910447761194028</v>
      </c>
      <c r="H19" s="45">
        <f t="shared" si="2"/>
        <v>1</v>
      </c>
      <c r="I19" s="45">
        <v>5036.5</v>
      </c>
      <c r="J19" s="78">
        <f t="shared" si="3"/>
        <v>19.954333366425097</v>
      </c>
      <c r="K19" s="45">
        <f t="shared" si="4"/>
        <v>1</v>
      </c>
      <c r="L19" s="79">
        <f t="shared" si="5"/>
        <v>3</v>
      </c>
    </row>
    <row r="20" spans="1:12" ht="15.75" x14ac:dyDescent="0.25">
      <c r="A20" s="45" t="s">
        <v>88</v>
      </c>
      <c r="B20" s="80">
        <v>2100</v>
      </c>
      <c r="C20" s="81">
        <v>1900</v>
      </c>
      <c r="D20" s="74">
        <f t="shared" si="0"/>
        <v>90.476190476190482</v>
      </c>
      <c r="E20" s="75">
        <v>1900</v>
      </c>
      <c r="F20" s="76">
        <f>525+760+25+590</f>
        <v>1900</v>
      </c>
      <c r="G20" s="77">
        <f t="shared" si="1"/>
        <v>100</v>
      </c>
      <c r="H20" s="45">
        <f t="shared" si="2"/>
        <v>1</v>
      </c>
      <c r="I20" s="45">
        <v>1204.0999999999999</v>
      </c>
      <c r="J20" s="78">
        <f t="shared" si="3"/>
        <v>1.5779420313927417</v>
      </c>
      <c r="K20" s="45">
        <f t="shared" si="4"/>
        <v>1</v>
      </c>
      <c r="L20" s="79">
        <f t="shared" si="5"/>
        <v>3</v>
      </c>
    </row>
    <row r="21" spans="1:12" ht="15.75" x14ac:dyDescent="0.25">
      <c r="A21" s="45" t="s">
        <v>89</v>
      </c>
      <c r="B21" s="80">
        <v>8000</v>
      </c>
      <c r="C21" s="81">
        <v>8000</v>
      </c>
      <c r="D21" s="74">
        <f t="shared" si="0"/>
        <v>100</v>
      </c>
      <c r="E21" s="75">
        <v>7950</v>
      </c>
      <c r="F21" s="76">
        <f>670+140+25+1820+230+150+595+1080+225+3015</f>
        <v>7950</v>
      </c>
      <c r="G21" s="77">
        <f t="shared" si="1"/>
        <v>100</v>
      </c>
      <c r="H21" s="45">
        <f t="shared" si="2"/>
        <v>1</v>
      </c>
      <c r="I21" s="45">
        <v>4528.8</v>
      </c>
      <c r="J21" s="78">
        <f t="shared" si="3"/>
        <v>1.7554319024907259</v>
      </c>
      <c r="K21" s="45">
        <f t="shared" si="4"/>
        <v>1</v>
      </c>
      <c r="L21" s="79">
        <f t="shared" si="5"/>
        <v>3</v>
      </c>
    </row>
    <row r="22" spans="1:12" ht="15.75" x14ac:dyDescent="0.25">
      <c r="A22" s="45" t="s">
        <v>90</v>
      </c>
      <c r="B22" s="80">
        <v>7600</v>
      </c>
      <c r="C22" s="81">
        <v>4565</v>
      </c>
      <c r="D22" s="74">
        <f t="shared" si="0"/>
        <v>60.065789473684205</v>
      </c>
      <c r="E22" s="75">
        <v>7600</v>
      </c>
      <c r="F22" s="76">
        <f>1630+2900</f>
        <v>4530</v>
      </c>
      <c r="G22" s="77">
        <f t="shared" si="1"/>
        <v>59.60526315789474</v>
      </c>
      <c r="H22" s="45">
        <f t="shared" si="2"/>
        <v>1</v>
      </c>
      <c r="I22" s="45">
        <v>10134.9</v>
      </c>
      <c r="J22" s="78">
        <f t="shared" si="3"/>
        <v>0.74988406397695095</v>
      </c>
      <c r="K22" s="45">
        <f t="shared" si="4"/>
        <v>1</v>
      </c>
      <c r="L22" s="79">
        <f t="shared" si="5"/>
        <v>3</v>
      </c>
    </row>
    <row r="23" spans="1:12" ht="15.75" x14ac:dyDescent="0.25">
      <c r="A23" s="45" t="s">
        <v>91</v>
      </c>
      <c r="B23" s="80">
        <v>19500</v>
      </c>
      <c r="C23" s="81">
        <v>13890</v>
      </c>
      <c r="D23" s="74">
        <f t="shared" si="0"/>
        <v>71.230769230769226</v>
      </c>
      <c r="E23" s="75">
        <v>20500</v>
      </c>
      <c r="F23" s="76">
        <f>1120+13460</f>
        <v>14580</v>
      </c>
      <c r="G23" s="77">
        <f t="shared" si="1"/>
        <v>71.121951219512198</v>
      </c>
      <c r="H23" s="45">
        <f t="shared" si="2"/>
        <v>1</v>
      </c>
      <c r="I23" s="45">
        <v>522.4</v>
      </c>
      <c r="J23" s="78">
        <f t="shared" si="3"/>
        <v>39.241960183767233</v>
      </c>
      <c r="K23" s="45">
        <f t="shared" si="4"/>
        <v>1</v>
      </c>
      <c r="L23" s="79">
        <f t="shared" si="5"/>
        <v>3</v>
      </c>
    </row>
    <row r="24" spans="1:12" ht="15.75" x14ac:dyDescent="0.25">
      <c r="A24" s="45" t="s">
        <v>92</v>
      </c>
      <c r="B24" s="80">
        <v>172800</v>
      </c>
      <c r="C24" s="81">
        <v>70090</v>
      </c>
      <c r="D24" s="74">
        <f t="shared" si="0"/>
        <v>40.561342592592595</v>
      </c>
      <c r="E24" s="75">
        <v>182200</v>
      </c>
      <c r="F24" s="76">
        <f>445+1075+2245+1850+2340+63645</f>
        <v>71600</v>
      </c>
      <c r="G24" s="77">
        <f t="shared" si="1"/>
        <v>39.297475301866079</v>
      </c>
      <c r="H24" s="45">
        <f t="shared" si="2"/>
        <v>0</v>
      </c>
      <c r="I24" s="45">
        <v>2785.4</v>
      </c>
      <c r="J24" s="78">
        <f t="shared" si="3"/>
        <v>65.412508077834417</v>
      </c>
      <c r="K24" s="45">
        <f t="shared" si="4"/>
        <v>1</v>
      </c>
      <c r="L24" s="79">
        <f t="shared" si="5"/>
        <v>2</v>
      </c>
    </row>
    <row r="25" spans="1:12" ht="15.75" x14ac:dyDescent="0.25">
      <c r="A25" s="45" t="s">
        <v>93</v>
      </c>
      <c r="B25" s="80">
        <v>17400</v>
      </c>
      <c r="C25" s="81">
        <v>12130</v>
      </c>
      <c r="D25" s="74">
        <f t="shared" si="0"/>
        <v>69.71264367816093</v>
      </c>
      <c r="E25" s="75">
        <v>19150</v>
      </c>
      <c r="F25" s="76">
        <f>805+640+12575</f>
        <v>14020</v>
      </c>
      <c r="G25" s="77">
        <f t="shared" si="1"/>
        <v>73.211488250652749</v>
      </c>
      <c r="H25" s="45">
        <f t="shared" si="2"/>
        <v>1</v>
      </c>
      <c r="I25" s="45">
        <v>1780.9</v>
      </c>
      <c r="J25" s="78">
        <f t="shared" si="3"/>
        <v>10.752990061205008</v>
      </c>
      <c r="K25" s="45">
        <f t="shared" si="4"/>
        <v>1</v>
      </c>
      <c r="L25" s="79">
        <f t="shared" si="5"/>
        <v>3</v>
      </c>
    </row>
    <row r="26" spans="1:12" ht="15.75" x14ac:dyDescent="0.25">
      <c r="A26" s="45" t="s">
        <v>94</v>
      </c>
      <c r="B26" s="80">
        <v>73000</v>
      </c>
      <c r="C26" s="81">
        <v>51745</v>
      </c>
      <c r="D26" s="74">
        <f t="shared" si="0"/>
        <v>70.88356164383562</v>
      </c>
      <c r="E26" s="75">
        <v>76050</v>
      </c>
      <c r="F26" s="76">
        <f>1370+51510</f>
        <v>52880</v>
      </c>
      <c r="G26" s="77">
        <f t="shared" si="1"/>
        <v>69.533201840894137</v>
      </c>
      <c r="H26" s="45">
        <f t="shared" si="2"/>
        <v>1</v>
      </c>
      <c r="I26" s="45">
        <v>1639.6</v>
      </c>
      <c r="J26" s="78">
        <f t="shared" si="3"/>
        <v>46.383264210783118</v>
      </c>
      <c r="K26" s="45">
        <f t="shared" si="4"/>
        <v>1</v>
      </c>
      <c r="L26" s="79">
        <f t="shared" si="5"/>
        <v>3</v>
      </c>
    </row>
    <row r="27" spans="1:12" ht="15.75" x14ac:dyDescent="0.25">
      <c r="A27" s="45" t="s">
        <v>95</v>
      </c>
      <c r="B27" s="80">
        <v>62000</v>
      </c>
      <c r="C27" s="81">
        <v>42835</v>
      </c>
      <c r="D27" s="74">
        <f t="shared" si="0"/>
        <v>69.088709677419359</v>
      </c>
      <c r="E27" s="75">
        <v>63900</v>
      </c>
      <c r="F27" s="76">
        <f>420+715+635+900+41720</f>
        <v>44390</v>
      </c>
      <c r="G27" s="77">
        <f t="shared" si="1"/>
        <v>69.467918622848202</v>
      </c>
      <c r="H27" s="45">
        <f t="shared" si="2"/>
        <v>1</v>
      </c>
      <c r="I27" s="45">
        <v>5944.6</v>
      </c>
      <c r="J27" s="78">
        <f t="shared" si="3"/>
        <v>10.74925142145813</v>
      </c>
      <c r="K27" s="45">
        <f t="shared" si="4"/>
        <v>1</v>
      </c>
      <c r="L27" s="79">
        <f t="shared" si="5"/>
        <v>3</v>
      </c>
    </row>
    <row r="28" spans="1:12" ht="15.75" x14ac:dyDescent="0.25">
      <c r="A28" s="45" t="s">
        <v>96</v>
      </c>
      <c r="B28" s="80">
        <v>7400</v>
      </c>
      <c r="C28" s="81">
        <v>4895</v>
      </c>
      <c r="D28" s="74">
        <f t="shared" si="0"/>
        <v>66.148648648648646</v>
      </c>
      <c r="E28" s="75">
        <v>7450</v>
      </c>
      <c r="F28" s="76">
        <f>2475+245+4730</f>
        <v>7450</v>
      </c>
      <c r="G28" s="77">
        <f t="shared" si="1"/>
        <v>100</v>
      </c>
      <c r="H28" s="45">
        <f t="shared" si="2"/>
        <v>1</v>
      </c>
      <c r="I28" s="45">
        <v>8136.3</v>
      </c>
      <c r="J28" s="78">
        <f t="shared" si="3"/>
        <v>0.91564961960596336</v>
      </c>
      <c r="K28" s="45">
        <f t="shared" si="4"/>
        <v>1</v>
      </c>
      <c r="L28" s="79">
        <f t="shared" si="5"/>
        <v>3</v>
      </c>
    </row>
    <row r="29" spans="1:12" ht="15.75" x14ac:dyDescent="0.25">
      <c r="A29" s="45" t="s">
        <v>97</v>
      </c>
      <c r="B29" s="80">
        <v>313000</v>
      </c>
      <c r="C29" s="81">
        <v>102190</v>
      </c>
      <c r="D29" s="74">
        <f t="shared" si="0"/>
        <v>32.64856230031949</v>
      </c>
      <c r="E29" s="75">
        <v>323950</v>
      </c>
      <c r="F29" s="76">
        <f>975+1245+860+275+98665</f>
        <v>102020</v>
      </c>
      <c r="G29" s="77">
        <f t="shared" si="1"/>
        <v>31.492514276894585</v>
      </c>
      <c r="H29" s="45">
        <f t="shared" si="2"/>
        <v>0</v>
      </c>
      <c r="I29" s="45">
        <v>4554.2</v>
      </c>
      <c r="J29" s="78">
        <f t="shared" si="3"/>
        <v>71.132141759255191</v>
      </c>
      <c r="K29" s="45">
        <f t="shared" si="4"/>
        <v>1</v>
      </c>
      <c r="L29" s="79">
        <f t="shared" si="5"/>
        <v>2</v>
      </c>
    </row>
    <row r="30" spans="1:12" ht="15.75" x14ac:dyDescent="0.25">
      <c r="A30" s="45" t="s">
        <v>98</v>
      </c>
      <c r="B30" s="80">
        <v>43200</v>
      </c>
      <c r="C30" s="81">
        <v>22285</v>
      </c>
      <c r="D30" s="74">
        <f t="shared" si="0"/>
        <v>51.585648148148145</v>
      </c>
      <c r="E30" s="75">
        <v>44600</v>
      </c>
      <c r="F30" s="76">
        <f>1180+1135+2065+620+19075</f>
        <v>24075</v>
      </c>
      <c r="G30" s="77">
        <f t="shared" si="1"/>
        <v>53.979820627802688</v>
      </c>
      <c r="H30" s="45">
        <f t="shared" si="2"/>
        <v>1</v>
      </c>
      <c r="I30" s="45">
        <v>979.7</v>
      </c>
      <c r="J30" s="78">
        <f t="shared" si="3"/>
        <v>45.524140042870265</v>
      </c>
      <c r="K30" s="45">
        <f t="shared" si="4"/>
        <v>1</v>
      </c>
      <c r="L30" s="79">
        <f t="shared" si="5"/>
        <v>3</v>
      </c>
    </row>
    <row r="31" spans="1:12" ht="15.75" x14ac:dyDescent="0.25">
      <c r="A31" s="45" t="s">
        <v>99</v>
      </c>
      <c r="B31" s="80">
        <v>102200</v>
      </c>
      <c r="C31" s="81">
        <v>47521</v>
      </c>
      <c r="D31" s="74">
        <f t="shared" si="0"/>
        <v>46.498043052837573</v>
      </c>
      <c r="E31" s="75">
        <v>103350</v>
      </c>
      <c r="F31" s="76">
        <f>1455+725+1010+1540+650+695+295+945+240+36090</f>
        <v>43645</v>
      </c>
      <c r="G31" s="77">
        <f t="shared" si="1"/>
        <v>42.230285437832613</v>
      </c>
      <c r="H31" s="45">
        <f t="shared" si="2"/>
        <v>0</v>
      </c>
      <c r="I31" s="45">
        <v>2291.4</v>
      </c>
      <c r="J31" s="78">
        <f t="shared" si="3"/>
        <v>45.103430217334378</v>
      </c>
      <c r="K31" s="45">
        <f t="shared" si="4"/>
        <v>1</v>
      </c>
      <c r="L31" s="79">
        <f t="shared" si="5"/>
        <v>2</v>
      </c>
    </row>
    <row r="32" spans="1:12" ht="15.75" x14ac:dyDescent="0.25">
      <c r="A32" s="45" t="s">
        <v>100</v>
      </c>
      <c r="B32" s="80">
        <v>29200</v>
      </c>
      <c r="C32" s="81">
        <v>15440</v>
      </c>
      <c r="D32" s="74">
        <f t="shared" si="0"/>
        <v>52.876712328767127</v>
      </c>
      <c r="E32" s="75">
        <v>31750</v>
      </c>
      <c r="F32" s="76">
        <f>150+240+1990+15155</f>
        <v>17535</v>
      </c>
      <c r="G32" s="77">
        <f t="shared" si="1"/>
        <v>55.228346456692911</v>
      </c>
      <c r="H32" s="45">
        <f t="shared" si="2"/>
        <v>1</v>
      </c>
      <c r="I32" s="45">
        <v>9887.7000000000007</v>
      </c>
      <c r="J32" s="78">
        <f t="shared" si="3"/>
        <v>3.2110602061146674</v>
      </c>
      <c r="K32" s="45">
        <f t="shared" si="4"/>
        <v>1</v>
      </c>
      <c r="L32" s="79">
        <f t="shared" si="5"/>
        <v>3</v>
      </c>
    </row>
    <row r="33" spans="1:12" ht="15.75" x14ac:dyDescent="0.25">
      <c r="A33" s="45" t="s">
        <v>101</v>
      </c>
      <c r="B33" s="80">
        <v>271900</v>
      </c>
      <c r="C33" s="81">
        <v>95124</v>
      </c>
      <c r="D33" s="74">
        <f t="shared" si="0"/>
        <v>34.984920926811327</v>
      </c>
      <c r="E33" s="75">
        <v>286300</v>
      </c>
      <c r="F33" s="76">
        <f>660+260+620+470+2045+2500+230+355+315+2170+1200+79655</f>
        <v>90480</v>
      </c>
      <c r="G33" s="77">
        <f t="shared" si="1"/>
        <v>31.603213412504367</v>
      </c>
      <c r="H33" s="45">
        <f t="shared" si="2"/>
        <v>0</v>
      </c>
      <c r="I33" s="45">
        <v>1185</v>
      </c>
      <c r="J33" s="78">
        <f t="shared" si="3"/>
        <v>241.60337552742615</v>
      </c>
      <c r="K33" s="45">
        <f t="shared" si="4"/>
        <v>0</v>
      </c>
      <c r="L33" s="79">
        <f t="shared" si="5"/>
        <v>1</v>
      </c>
    </row>
    <row r="34" spans="1:12" ht="15.75" x14ac:dyDescent="0.25">
      <c r="A34" s="45" t="s">
        <v>102</v>
      </c>
      <c r="B34" s="80">
        <v>9400</v>
      </c>
      <c r="C34" s="81">
        <v>6420</v>
      </c>
      <c r="D34" s="74">
        <f t="shared" si="0"/>
        <v>68.297872340425542</v>
      </c>
      <c r="E34" s="75">
        <v>11100</v>
      </c>
      <c r="F34" s="76">
        <f>1395+325+1740+265+4465</f>
        <v>8190</v>
      </c>
      <c r="G34" s="77">
        <f t="shared" si="1"/>
        <v>73.78378378378379</v>
      </c>
      <c r="H34" s="45">
        <f t="shared" si="2"/>
        <v>1</v>
      </c>
      <c r="I34" s="45">
        <v>2032.8</v>
      </c>
      <c r="J34" s="78">
        <f t="shared" si="3"/>
        <v>5.4604486422668241</v>
      </c>
      <c r="K34" s="45">
        <f t="shared" si="4"/>
        <v>1</v>
      </c>
      <c r="L34" s="79">
        <f t="shared" si="5"/>
        <v>3</v>
      </c>
    </row>
    <row r="35" spans="1:12" ht="15.75" x14ac:dyDescent="0.25">
      <c r="A35" s="45" t="s">
        <v>103</v>
      </c>
      <c r="B35" s="80">
        <v>641900</v>
      </c>
      <c r="C35" s="81">
        <v>32892</v>
      </c>
      <c r="D35" s="74">
        <f t="shared" si="0"/>
        <v>5.1241626421560991</v>
      </c>
      <c r="E35" s="75">
        <v>662400</v>
      </c>
      <c r="F35" s="76">
        <f>780+14155</f>
        <v>14935</v>
      </c>
      <c r="G35" s="77">
        <f t="shared" si="1"/>
        <v>2.2546799516908211</v>
      </c>
      <c r="H35" s="45">
        <f t="shared" si="2"/>
        <v>0</v>
      </c>
      <c r="I35" s="45">
        <v>435.3</v>
      </c>
      <c r="J35" s="78">
        <f t="shared" si="3"/>
        <v>1521.70916609235</v>
      </c>
      <c r="K35" s="45">
        <f t="shared" si="4"/>
        <v>0</v>
      </c>
      <c r="L35" s="79">
        <f t="shared" si="5"/>
        <v>1</v>
      </c>
    </row>
    <row r="36" spans="1:12" ht="15.75" x14ac:dyDescent="0.25">
      <c r="A36" s="45" t="s">
        <v>104</v>
      </c>
      <c r="B36" s="80">
        <v>59500</v>
      </c>
      <c r="C36" s="81">
        <v>17279</v>
      </c>
      <c r="D36" s="74">
        <f t="shared" si="0"/>
        <v>29.040336134453781</v>
      </c>
      <c r="E36" s="75">
        <v>62700</v>
      </c>
      <c r="F36" s="76">
        <f>970+16610</f>
        <v>17580</v>
      </c>
      <c r="G36" s="77">
        <f t="shared" si="1"/>
        <v>28.038277511961724</v>
      </c>
      <c r="H36" s="45">
        <f t="shared" si="2"/>
        <v>0</v>
      </c>
      <c r="I36" s="45">
        <v>741.41</v>
      </c>
      <c r="J36" s="78">
        <f t="shared" si="3"/>
        <v>84.568592276877851</v>
      </c>
      <c r="K36" s="45">
        <f t="shared" si="4"/>
        <v>1</v>
      </c>
      <c r="L36" s="79">
        <f t="shared" si="5"/>
        <v>2</v>
      </c>
    </row>
    <row r="37" spans="1:12" ht="15.75" x14ac:dyDescent="0.25">
      <c r="A37" s="45" t="s">
        <v>105</v>
      </c>
      <c r="B37" s="80">
        <v>1900</v>
      </c>
      <c r="C37" s="81">
        <v>1900</v>
      </c>
      <c r="D37" s="74">
        <f t="shared" si="0"/>
        <v>100</v>
      </c>
      <c r="E37" s="75">
        <v>1950</v>
      </c>
      <c r="F37" s="76">
        <v>1950</v>
      </c>
      <c r="G37" s="77">
        <f t="shared" si="1"/>
        <v>100</v>
      </c>
      <c r="H37" s="45">
        <f t="shared" si="2"/>
        <v>1</v>
      </c>
      <c r="I37" s="45">
        <v>823.3</v>
      </c>
      <c r="J37" s="78">
        <f t="shared" si="3"/>
        <v>2.3685169440058305</v>
      </c>
      <c r="K37" s="45">
        <f t="shared" si="4"/>
        <v>1</v>
      </c>
      <c r="L37" s="79">
        <f t="shared" si="5"/>
        <v>3</v>
      </c>
    </row>
    <row r="38" spans="1:12" ht="15.75" x14ac:dyDescent="0.25">
      <c r="A38" s="45" t="s">
        <v>106</v>
      </c>
      <c r="B38" s="80">
        <v>24000</v>
      </c>
      <c r="C38" s="81">
        <v>19525</v>
      </c>
      <c r="D38" s="74">
        <f t="shared" si="0"/>
        <v>81.354166666666671</v>
      </c>
      <c r="E38" s="75">
        <v>24300</v>
      </c>
      <c r="F38" s="76">
        <f>1150+900+565+205+1275+395+15450</f>
        <v>19940</v>
      </c>
      <c r="G38" s="77">
        <f t="shared" si="1"/>
        <v>82.057613168724274</v>
      </c>
      <c r="H38" s="45">
        <f t="shared" si="2"/>
        <v>1</v>
      </c>
      <c r="I38" s="45">
        <v>1102.2</v>
      </c>
      <c r="J38" s="78">
        <f t="shared" si="3"/>
        <v>22.046815459989112</v>
      </c>
      <c r="K38" s="45">
        <f t="shared" si="4"/>
        <v>1</v>
      </c>
      <c r="L38" s="79">
        <f t="shared" si="5"/>
        <v>3</v>
      </c>
    </row>
    <row r="39" spans="1:12" ht="15.75" x14ac:dyDescent="0.25">
      <c r="A39" s="45" t="s">
        <v>107</v>
      </c>
      <c r="B39" s="80">
        <v>67100</v>
      </c>
      <c r="C39" s="81">
        <v>29185</v>
      </c>
      <c r="D39" s="74">
        <f t="shared" si="0"/>
        <v>43.494783904619972</v>
      </c>
      <c r="E39" s="75">
        <v>70850</v>
      </c>
      <c r="F39" s="76">
        <f>300+1225+655+185+1535+1990+255+720+22810</f>
        <v>29675</v>
      </c>
      <c r="G39" s="77">
        <f t="shared" si="1"/>
        <v>41.884262526464362</v>
      </c>
      <c r="H39" s="45">
        <f t="shared" si="2"/>
        <v>0</v>
      </c>
      <c r="I39" s="45">
        <v>3215.3</v>
      </c>
      <c r="J39" s="78">
        <f t="shared" si="3"/>
        <v>22.035268870711906</v>
      </c>
      <c r="K39" s="45">
        <f t="shared" si="4"/>
        <v>1</v>
      </c>
      <c r="L39" s="79">
        <f t="shared" si="5"/>
        <v>2</v>
      </c>
    </row>
    <row r="40" spans="1:12" ht="15.75" x14ac:dyDescent="0.25">
      <c r="A40" s="45" t="s">
        <v>108</v>
      </c>
      <c r="B40" s="80">
        <v>24400</v>
      </c>
      <c r="C40" s="81">
        <v>12085</v>
      </c>
      <c r="D40" s="74">
        <f t="shared" si="0"/>
        <v>49.528688524590166</v>
      </c>
      <c r="E40" s="75">
        <v>24550</v>
      </c>
      <c r="F40" s="76">
        <f>595+1655+285+925+490+115+1930+6215</f>
        <v>12210</v>
      </c>
      <c r="G40" s="77">
        <f t="shared" si="1"/>
        <v>49.735234215885946</v>
      </c>
      <c r="H40" s="45">
        <f t="shared" si="2"/>
        <v>0</v>
      </c>
      <c r="I40" s="45">
        <v>2036.7</v>
      </c>
      <c r="J40" s="78">
        <f t="shared" si="3"/>
        <v>12.053812539892963</v>
      </c>
      <c r="K40" s="45">
        <f t="shared" si="4"/>
        <v>1</v>
      </c>
      <c r="L40" s="79">
        <f t="shared" si="5"/>
        <v>2</v>
      </c>
    </row>
    <row r="41" spans="1:12" ht="15.75" x14ac:dyDescent="0.25">
      <c r="A41" s="45" t="s">
        <v>109</v>
      </c>
      <c r="B41" s="80">
        <v>7200</v>
      </c>
      <c r="C41" s="81">
        <v>7250</v>
      </c>
      <c r="D41" s="74">
        <f t="shared" si="0"/>
        <v>100.69444444444444</v>
      </c>
      <c r="E41" s="75">
        <v>7250</v>
      </c>
      <c r="F41" s="76">
        <v>7250</v>
      </c>
      <c r="G41" s="77">
        <f t="shared" si="1"/>
        <v>100</v>
      </c>
      <c r="H41" s="45">
        <f t="shared" si="2"/>
        <v>1</v>
      </c>
      <c r="I41" s="45">
        <v>3145.4</v>
      </c>
      <c r="J41" s="78">
        <f t="shared" si="3"/>
        <v>2.3049532650855218</v>
      </c>
      <c r="K41" s="45">
        <f t="shared" si="4"/>
        <v>1</v>
      </c>
      <c r="L41" s="79">
        <f t="shared" si="5"/>
        <v>3</v>
      </c>
    </row>
    <row r="42" spans="1:12" ht="15.75" x14ac:dyDescent="0.25">
      <c r="A42" s="45" t="s">
        <v>110</v>
      </c>
      <c r="B42" s="80">
        <v>22600</v>
      </c>
      <c r="C42" s="81">
        <v>11040</v>
      </c>
      <c r="D42" s="74">
        <f t="shared" si="0"/>
        <v>48.849557522123895</v>
      </c>
      <c r="E42" s="75">
        <v>23850</v>
      </c>
      <c r="F42" s="76">
        <f>60+590+410+415+25+10165</f>
        <v>11665</v>
      </c>
      <c r="G42" s="77">
        <f t="shared" si="1"/>
        <v>48.909853249475894</v>
      </c>
      <c r="H42" s="45">
        <f t="shared" si="2"/>
        <v>0</v>
      </c>
      <c r="I42" s="45">
        <v>2381.1999999999998</v>
      </c>
      <c r="J42" s="78">
        <f t="shared" si="3"/>
        <v>10.015958340332606</v>
      </c>
      <c r="K42" s="45">
        <f t="shared" si="4"/>
        <v>1</v>
      </c>
      <c r="L42" s="79">
        <f t="shared" si="5"/>
        <v>2</v>
      </c>
    </row>
    <row r="43" spans="1:12" ht="15.75" x14ac:dyDescent="0.25">
      <c r="A43" s="45" t="s">
        <v>111</v>
      </c>
      <c r="B43" s="80">
        <v>397600</v>
      </c>
      <c r="C43" s="81">
        <v>176821</v>
      </c>
      <c r="D43" s="74">
        <f t="shared" si="0"/>
        <v>44.472082494969818</v>
      </c>
      <c r="E43" s="75">
        <v>449250</v>
      </c>
      <c r="F43" s="76">
        <f>1310+1400+600+1945+1625+189965</f>
        <v>196845</v>
      </c>
      <c r="G43" s="77">
        <f t="shared" si="1"/>
        <v>43.816360601001669</v>
      </c>
      <c r="H43" s="45">
        <f t="shared" si="2"/>
        <v>0</v>
      </c>
      <c r="I43" s="45">
        <v>723.8</v>
      </c>
      <c r="J43" s="78">
        <f t="shared" si="3"/>
        <v>620.68250898038139</v>
      </c>
      <c r="K43" s="45">
        <f t="shared" si="4"/>
        <v>0</v>
      </c>
      <c r="L43" s="79">
        <f t="shared" si="5"/>
        <v>1</v>
      </c>
    </row>
    <row r="44" spans="1:12" ht="15.75" x14ac:dyDescent="0.25">
      <c r="A44" s="45" t="s">
        <v>112</v>
      </c>
      <c r="B44" s="80">
        <v>1600</v>
      </c>
      <c r="C44" s="81">
        <v>1600</v>
      </c>
      <c r="D44" s="74">
        <f>C44/B44*100</f>
        <v>100</v>
      </c>
      <c r="E44" s="75">
        <v>1550</v>
      </c>
      <c r="F44" s="76">
        <v>1550</v>
      </c>
      <c r="G44" s="77">
        <f t="shared" si="1"/>
        <v>100</v>
      </c>
      <c r="H44" s="45">
        <f t="shared" si="2"/>
        <v>1</v>
      </c>
      <c r="I44" s="45">
        <v>1715</v>
      </c>
      <c r="J44" s="78">
        <f t="shared" si="3"/>
        <v>0.90379008746355682</v>
      </c>
      <c r="K44" s="45">
        <f t="shared" si="4"/>
        <v>1</v>
      </c>
      <c r="L44" s="79">
        <f t="shared" si="5"/>
        <v>3</v>
      </c>
    </row>
    <row r="45" spans="1:12" ht="15.75" x14ac:dyDescent="0.25">
      <c r="A45" s="45" t="s">
        <v>113</v>
      </c>
      <c r="B45" s="80">
        <v>81900</v>
      </c>
      <c r="C45" s="81">
        <v>34216</v>
      </c>
      <c r="D45" s="74">
        <f>C45/B45*100</f>
        <v>41.777777777777779</v>
      </c>
      <c r="E45" s="75">
        <v>85500</v>
      </c>
      <c r="F45" s="76">
        <f>1485+1520+2135+1845+795+22950</f>
        <v>30730</v>
      </c>
      <c r="G45" s="77">
        <f t="shared" si="1"/>
        <v>35.941520467836256</v>
      </c>
      <c r="H45" s="45">
        <f t="shared" si="2"/>
        <v>0</v>
      </c>
      <c r="I45" s="45">
        <v>715.6</v>
      </c>
      <c r="J45" s="78">
        <f t="shared" si="3"/>
        <v>119.48015651201789</v>
      </c>
      <c r="K45" s="45">
        <f t="shared" si="4"/>
        <v>0</v>
      </c>
      <c r="L45" s="79">
        <f t="shared" si="5"/>
        <v>1</v>
      </c>
    </row>
    <row r="46" spans="1:12" ht="15.75" x14ac:dyDescent="0.25">
      <c r="A46" s="45"/>
      <c r="B46" s="91"/>
      <c r="C46" s="91" t="s">
        <v>54</v>
      </c>
      <c r="D46" s="74" t="s">
        <v>54</v>
      </c>
      <c r="E46" s="92"/>
      <c r="F46" s="93" t="s">
        <v>54</v>
      </c>
      <c r="G46" s="77" t="s">
        <v>54</v>
      </c>
      <c r="H46" s="45"/>
      <c r="I46" s="45"/>
      <c r="J46" s="45"/>
      <c r="K46" s="45"/>
      <c r="L46" s="79"/>
    </row>
    <row r="47" spans="1:12" ht="15.75" x14ac:dyDescent="0.25">
      <c r="A47" s="45" t="s">
        <v>114</v>
      </c>
      <c r="B47" s="81">
        <f>SUM(B10:B45)</f>
        <v>3267550</v>
      </c>
      <c r="C47" s="81">
        <f>SUM(C10:C45)</f>
        <v>1258170</v>
      </c>
      <c r="D47" s="74">
        <f>C47/B47*100</f>
        <v>38.50499609799391</v>
      </c>
      <c r="E47" s="94">
        <f>SUM(E10:E45)</f>
        <v>3436750</v>
      </c>
      <c r="F47" s="76">
        <f>SUM(F10:F45)</f>
        <v>1273795</v>
      </c>
      <c r="G47" s="77">
        <f>F47/E47*100</f>
        <v>37.063941223539679</v>
      </c>
      <c r="H47" s="95">
        <f>SUM(H10:H45)</f>
        <v>20</v>
      </c>
      <c r="I47" s="95">
        <f>SUM(I10:I45)</f>
        <v>96002.41</v>
      </c>
      <c r="J47" s="78">
        <f>E47/I47</f>
        <v>35.798580473136035</v>
      </c>
      <c r="K47" s="95">
        <f>SUM(K10:K45)</f>
        <v>30</v>
      </c>
      <c r="L47" s="96">
        <f>SUM(L10:L45)</f>
        <v>86</v>
      </c>
    </row>
    <row r="48" spans="1:12" x14ac:dyDescent="0.2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0"/>
    </row>
    <row r="49" spans="1:12" x14ac:dyDescent="0.2">
      <c r="A49" s="45" t="s">
        <v>15</v>
      </c>
      <c r="B49" s="97">
        <f>SUM(B20,B37,B42)</f>
        <v>26600</v>
      </c>
      <c r="C49" s="97">
        <f t="shared" ref="C49:L49" si="6">SUM(C20,C37,C42)</f>
        <v>14840</v>
      </c>
      <c r="D49" s="97">
        <f t="shared" si="6"/>
        <v>239.32574799831437</v>
      </c>
      <c r="E49" s="97">
        <f t="shared" si="6"/>
        <v>27700</v>
      </c>
      <c r="F49" s="97">
        <f t="shared" si="6"/>
        <v>15515</v>
      </c>
      <c r="G49" s="97">
        <f t="shared" si="6"/>
        <v>248.9098532494759</v>
      </c>
      <c r="H49" s="97">
        <f t="shared" si="6"/>
        <v>2</v>
      </c>
      <c r="I49" s="97">
        <f t="shared" si="6"/>
        <v>4408.5999999999995</v>
      </c>
      <c r="J49" s="97">
        <f t="shared" si="6"/>
        <v>13.962417315731178</v>
      </c>
      <c r="K49" s="97">
        <f t="shared" si="6"/>
        <v>3</v>
      </c>
      <c r="L49" s="97">
        <f t="shared" si="6"/>
        <v>8</v>
      </c>
    </row>
    <row r="50" spans="1:12" x14ac:dyDescent="0.2">
      <c r="A50" s="45"/>
      <c r="B50" s="45"/>
      <c r="C50" s="45"/>
      <c r="D50" s="45"/>
      <c r="E50" s="45" t="s">
        <v>54</v>
      </c>
      <c r="F50" s="45"/>
      <c r="G50" s="45"/>
      <c r="H50" s="45"/>
      <c r="I50" s="45"/>
      <c r="J50" s="45"/>
      <c r="K50" s="45"/>
      <c r="L50" s="50"/>
    </row>
    <row r="51" spans="1:12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50"/>
    </row>
    <row r="52" spans="1:12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50"/>
    </row>
  </sheetData>
  <mergeCells count="2">
    <mergeCell ref="B5:D5"/>
    <mergeCell ref="E5:G5"/>
  </mergeCells>
  <printOptions gridLines="1"/>
  <pageMargins left="0.75" right="0.75" top="0.66" bottom="0.55000000000000004" header="0.5" footer="0.5"/>
  <pageSetup scale="66" orientation="landscape" horizontalDpi="409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H41"/>
  <sheetViews>
    <sheetView zoomScale="130" zoomScaleNormal="130" workbookViewId="0">
      <selection activeCell="E25" sqref="E25"/>
    </sheetView>
  </sheetViews>
  <sheetFormatPr defaultRowHeight="15" x14ac:dyDescent="0.25"/>
  <cols>
    <col min="2" max="2" width="17.42578125" customWidth="1"/>
    <col min="3" max="3" width="11.85546875" customWidth="1"/>
    <col min="4" max="4" width="6.140625" customWidth="1"/>
    <col min="5" max="5" width="10.5703125" customWidth="1"/>
    <col min="6" max="6" width="9.7109375" customWidth="1"/>
    <col min="7" max="7" width="14.140625" customWidth="1"/>
    <col min="8" max="8" width="10" customWidth="1"/>
  </cols>
  <sheetData>
    <row r="3" spans="2:8" x14ac:dyDescent="0.25">
      <c r="B3" t="s">
        <v>41</v>
      </c>
      <c r="C3" s="12">
        <v>500000</v>
      </c>
    </row>
    <row r="4" spans="2:8" x14ac:dyDescent="0.25">
      <c r="B4" t="s">
        <v>42</v>
      </c>
      <c r="C4" s="13">
        <v>19250</v>
      </c>
      <c r="D4" s="14"/>
    </row>
    <row r="6" spans="2:8" s="99" customFormat="1" ht="30" x14ac:dyDescent="0.25">
      <c r="B6" s="16" t="s">
        <v>0</v>
      </c>
      <c r="C6" s="16" t="s">
        <v>45</v>
      </c>
      <c r="D6" s="16" t="s">
        <v>46</v>
      </c>
      <c r="E6" s="16" t="s">
        <v>116</v>
      </c>
      <c r="F6" s="16" t="s">
        <v>117</v>
      </c>
      <c r="G6" s="98" t="s">
        <v>118</v>
      </c>
      <c r="H6" s="16" t="s">
        <v>119</v>
      </c>
    </row>
    <row r="7" spans="2:8" x14ac:dyDescent="0.25">
      <c r="B7" s="21" t="s">
        <v>33</v>
      </c>
      <c r="C7" s="22">
        <v>397385</v>
      </c>
      <c r="D7" s="23">
        <v>9.748827170356944E-2</v>
      </c>
      <c r="E7" s="100">
        <f t="shared" ref="E7:E40" si="0">C7*D7</f>
        <v>38740.376850922941</v>
      </c>
      <c r="F7" s="101">
        <f t="shared" ref="F7:F40" si="1">E7/$E$41</f>
        <v>5.7734985774127785E-2</v>
      </c>
      <c r="G7" s="13">
        <f t="shared" ref="G7:G40" si="2">$C$4*F7</f>
        <v>1111.3984761519598</v>
      </c>
      <c r="H7" s="102">
        <f t="shared" ref="H7:H41" si="3">G7/C7</f>
        <v>2.7967801405487367E-3</v>
      </c>
    </row>
    <row r="8" spans="2:8" x14ac:dyDescent="0.25">
      <c r="B8" s="21" t="s">
        <v>34</v>
      </c>
      <c r="C8" s="22">
        <v>570510</v>
      </c>
      <c r="D8" s="23">
        <v>0.11824459724769457</v>
      </c>
      <c r="E8" s="100">
        <f t="shared" si="0"/>
        <v>67459.725175782223</v>
      </c>
      <c r="F8" s="101">
        <f t="shared" si="1"/>
        <v>0.10053558044460706</v>
      </c>
      <c r="G8" s="13">
        <f t="shared" si="2"/>
        <v>1935.3099235586858</v>
      </c>
      <c r="H8" s="102">
        <f t="shared" si="3"/>
        <v>3.3922454007093406E-3</v>
      </c>
    </row>
    <row r="9" spans="2:8" x14ac:dyDescent="0.25">
      <c r="B9" s="21" t="s">
        <v>19</v>
      </c>
      <c r="C9" s="22">
        <v>50390</v>
      </c>
      <c r="D9" s="23">
        <v>0.13149207520862807</v>
      </c>
      <c r="E9" s="100">
        <f t="shared" si="0"/>
        <v>6625.8856697627689</v>
      </c>
      <c r="F9" s="101">
        <f t="shared" si="1"/>
        <v>9.8745919885298416E-3</v>
      </c>
      <c r="G9" s="13">
        <f t="shared" si="2"/>
        <v>190.08589577919946</v>
      </c>
      <c r="H9" s="102">
        <f t="shared" si="3"/>
        <v>3.7722940222107452E-3</v>
      </c>
    </row>
    <row r="10" spans="2:8" x14ac:dyDescent="0.25">
      <c r="B10" s="21" t="s">
        <v>3</v>
      </c>
      <c r="C10" s="22">
        <v>7100</v>
      </c>
      <c r="D10" s="23">
        <v>0.13868076979579844</v>
      </c>
      <c r="E10" s="100">
        <f t="shared" si="0"/>
        <v>984.63346555016892</v>
      </c>
      <c r="F10" s="101">
        <f t="shared" si="1"/>
        <v>1.4674043916770732E-3</v>
      </c>
      <c r="G10" s="13">
        <f t="shared" si="2"/>
        <v>28.247534539783658</v>
      </c>
      <c r="H10" s="102">
        <f t="shared" si="3"/>
        <v>3.9785259915188246E-3</v>
      </c>
    </row>
    <row r="11" spans="2:8" x14ac:dyDescent="0.25">
      <c r="B11" s="21" t="s">
        <v>29</v>
      </c>
      <c r="C11" s="22">
        <v>170740</v>
      </c>
      <c r="D11" s="23">
        <v>0.15013891461381737</v>
      </c>
      <c r="E11" s="100">
        <f t="shared" si="0"/>
        <v>25634.718281163179</v>
      </c>
      <c r="F11" s="101">
        <f t="shared" si="1"/>
        <v>3.8203554420288763E-2</v>
      </c>
      <c r="G11" s="13">
        <f t="shared" si="2"/>
        <v>735.41842259055863</v>
      </c>
      <c r="H11" s="102">
        <f t="shared" si="3"/>
        <v>4.3072415520121745E-3</v>
      </c>
    </row>
    <row r="12" spans="2:8" x14ac:dyDescent="0.25">
      <c r="B12" s="21" t="s">
        <v>11</v>
      </c>
      <c r="C12" s="22">
        <v>22470</v>
      </c>
      <c r="D12" s="23">
        <v>0.15369342538694103</v>
      </c>
      <c r="E12" s="100">
        <f t="shared" si="0"/>
        <v>3453.4912684445649</v>
      </c>
      <c r="F12" s="101">
        <f t="shared" si="1"/>
        <v>5.1467560582072998E-3</v>
      </c>
      <c r="G12" s="13">
        <f t="shared" si="2"/>
        <v>99.07505412049052</v>
      </c>
      <c r="H12" s="102">
        <f t="shared" si="3"/>
        <v>4.409214691610615E-3</v>
      </c>
    </row>
    <row r="13" spans="2:8" x14ac:dyDescent="0.25">
      <c r="B13" s="21" t="s">
        <v>5</v>
      </c>
      <c r="C13" s="22">
        <v>7430</v>
      </c>
      <c r="D13" s="23">
        <v>0.15435776638492449</v>
      </c>
      <c r="E13" s="100">
        <f t="shared" si="0"/>
        <v>1146.8782042399889</v>
      </c>
      <c r="F13" s="101">
        <f t="shared" si="1"/>
        <v>1.7091985723643134E-3</v>
      </c>
      <c r="G13" s="13">
        <f t="shared" si="2"/>
        <v>32.902072518013036</v>
      </c>
      <c r="H13" s="102">
        <f t="shared" si="3"/>
        <v>4.4282735555872185E-3</v>
      </c>
    </row>
    <row r="14" spans="2:8" x14ac:dyDescent="0.25">
      <c r="B14" s="21" t="s">
        <v>12</v>
      </c>
      <c r="C14" s="22">
        <v>24245</v>
      </c>
      <c r="D14" s="23">
        <v>0.15661570192350804</v>
      </c>
      <c r="E14" s="100">
        <f t="shared" si="0"/>
        <v>3797.1476931354523</v>
      </c>
      <c r="F14" s="101">
        <f t="shared" si="1"/>
        <v>5.6589090211757878E-3</v>
      </c>
      <c r="G14" s="13">
        <f t="shared" si="2"/>
        <v>108.93399865763392</v>
      </c>
      <c r="H14" s="102">
        <f t="shared" si="3"/>
        <v>4.4930500580587307E-3</v>
      </c>
    </row>
    <row r="15" spans="2:8" x14ac:dyDescent="0.25">
      <c r="B15" s="21" t="s">
        <v>17</v>
      </c>
      <c r="C15" s="22">
        <v>37750</v>
      </c>
      <c r="D15" s="23">
        <v>0.15771425436190059</v>
      </c>
      <c r="E15" s="100">
        <f t="shared" si="0"/>
        <v>5953.713102161747</v>
      </c>
      <c r="F15" s="101">
        <f t="shared" si="1"/>
        <v>8.8728497035350223E-3</v>
      </c>
      <c r="G15" s="13">
        <f t="shared" si="2"/>
        <v>170.80235679304917</v>
      </c>
      <c r="H15" s="102">
        <f t="shared" si="3"/>
        <v>4.5245657428622296E-3</v>
      </c>
    </row>
    <row r="16" spans="2:8" x14ac:dyDescent="0.25">
      <c r="B16" s="21" t="s">
        <v>15</v>
      </c>
      <c r="C16" s="22">
        <v>30135</v>
      </c>
      <c r="D16" s="23">
        <v>0.16419843853936911</v>
      </c>
      <c r="E16" s="100">
        <f t="shared" si="0"/>
        <v>4948.1199453838881</v>
      </c>
      <c r="F16" s="101">
        <f t="shared" si="1"/>
        <v>7.374208974650456E-3</v>
      </c>
      <c r="G16" s="13">
        <f t="shared" si="2"/>
        <v>141.95352276202127</v>
      </c>
      <c r="H16" s="102">
        <f t="shared" si="3"/>
        <v>4.7105864530287466E-3</v>
      </c>
    </row>
    <row r="17" spans="2:8" x14ac:dyDescent="0.25">
      <c r="B17" s="21" t="s">
        <v>26</v>
      </c>
      <c r="C17" s="22">
        <v>103630</v>
      </c>
      <c r="D17" s="23">
        <v>0.16705485587816832</v>
      </c>
      <c r="E17" s="100">
        <f t="shared" si="0"/>
        <v>17311.894714654583</v>
      </c>
      <c r="F17" s="101">
        <f t="shared" si="1"/>
        <v>2.5800007029357756E-2</v>
      </c>
      <c r="G17" s="13">
        <f t="shared" si="2"/>
        <v>496.65013531513682</v>
      </c>
      <c r="H17" s="102">
        <f t="shared" si="3"/>
        <v>4.7925324260845005E-3</v>
      </c>
    </row>
    <row r="18" spans="2:8" x14ac:dyDescent="0.25">
      <c r="B18" s="21" t="s">
        <v>22</v>
      </c>
      <c r="C18" s="22">
        <v>78570</v>
      </c>
      <c r="D18" s="23">
        <v>0.17035658831718156</v>
      </c>
      <c r="E18" s="100">
        <f t="shared" si="0"/>
        <v>13384.917144080955</v>
      </c>
      <c r="F18" s="101">
        <f t="shared" si="1"/>
        <v>1.9947611864363744E-2</v>
      </c>
      <c r="G18" s="13">
        <f t="shared" si="2"/>
        <v>383.9915283890021</v>
      </c>
      <c r="H18" s="102">
        <f t="shared" si="3"/>
        <v>4.887253765928498E-3</v>
      </c>
    </row>
    <row r="19" spans="2:8" x14ac:dyDescent="0.25">
      <c r="B19" s="21" t="s">
        <v>23</v>
      </c>
      <c r="C19" s="22">
        <v>79155</v>
      </c>
      <c r="D19" s="23">
        <v>0.17082896407086484</v>
      </c>
      <c r="E19" s="100">
        <f t="shared" si="0"/>
        <v>13521.966651029306</v>
      </c>
      <c r="F19" s="101">
        <f t="shared" si="1"/>
        <v>2.0151857459714113E-2</v>
      </c>
      <c r="G19" s="13">
        <f t="shared" si="2"/>
        <v>387.92325609949665</v>
      </c>
      <c r="H19" s="102">
        <f t="shared" si="3"/>
        <v>4.9008054589033748E-3</v>
      </c>
    </row>
    <row r="20" spans="2:8" x14ac:dyDescent="0.25">
      <c r="B20" s="21" t="s">
        <v>18</v>
      </c>
      <c r="C20" s="22">
        <v>47225</v>
      </c>
      <c r="D20" s="23">
        <v>0.17109332163614432</v>
      </c>
      <c r="E20" s="100">
        <f t="shared" si="0"/>
        <v>8079.8821142669158</v>
      </c>
      <c r="F20" s="101">
        <f t="shared" si="1"/>
        <v>1.2041490476949667E-2</v>
      </c>
      <c r="G20" s="13">
        <f t="shared" si="2"/>
        <v>231.7986916812811</v>
      </c>
      <c r="H20" s="102">
        <f t="shared" si="3"/>
        <v>4.9083894479890122E-3</v>
      </c>
    </row>
    <row r="21" spans="2:8" x14ac:dyDescent="0.25">
      <c r="B21" s="21" t="s">
        <v>13</v>
      </c>
      <c r="C21" s="22">
        <v>25690</v>
      </c>
      <c r="D21" s="23">
        <v>0.17629563233376794</v>
      </c>
      <c r="E21" s="100">
        <f t="shared" si="0"/>
        <v>4529.034794654498</v>
      </c>
      <c r="F21" s="101">
        <f t="shared" si="1"/>
        <v>6.7496441876681865E-3</v>
      </c>
      <c r="G21" s="13">
        <f t="shared" si="2"/>
        <v>129.9306506126126</v>
      </c>
      <c r="H21" s="102">
        <f t="shared" si="3"/>
        <v>5.057635290487061E-3</v>
      </c>
    </row>
    <row r="22" spans="2:8" x14ac:dyDescent="0.25">
      <c r="B22" s="21" t="s">
        <v>30</v>
      </c>
      <c r="C22" s="22">
        <v>210975</v>
      </c>
      <c r="D22" s="23">
        <v>0.17796340298361218</v>
      </c>
      <c r="E22" s="100">
        <f t="shared" si="0"/>
        <v>37545.828944467583</v>
      </c>
      <c r="F22" s="101">
        <f t="shared" si="1"/>
        <v>5.5954744795804125E-2</v>
      </c>
      <c r="G22" s="13">
        <f t="shared" si="2"/>
        <v>1077.1288373192294</v>
      </c>
      <c r="H22" s="102">
        <f t="shared" si="3"/>
        <v>5.1054809210533446E-3</v>
      </c>
    </row>
    <row r="23" spans="2:8" x14ac:dyDescent="0.25">
      <c r="B23" s="21" t="s">
        <v>6</v>
      </c>
      <c r="C23" s="22">
        <v>8010</v>
      </c>
      <c r="D23" s="23">
        <v>0.17800622210198835</v>
      </c>
      <c r="E23" s="100">
        <f t="shared" si="0"/>
        <v>1425.8298390369266</v>
      </c>
      <c r="F23" s="101">
        <f t="shared" si="1"/>
        <v>2.1249216493143819E-3</v>
      </c>
      <c r="G23" s="13">
        <f t="shared" si="2"/>
        <v>40.904741749301849</v>
      </c>
      <c r="H23" s="102">
        <f t="shared" si="3"/>
        <v>5.1067093319977341E-3</v>
      </c>
    </row>
    <row r="24" spans="2:8" x14ac:dyDescent="0.25">
      <c r="B24" s="21" t="s">
        <v>20</v>
      </c>
      <c r="C24" s="22">
        <v>62990</v>
      </c>
      <c r="D24" s="23">
        <v>0.18003089682087975</v>
      </c>
      <c r="E24" s="100">
        <f t="shared" si="0"/>
        <v>11340.146190747215</v>
      </c>
      <c r="F24" s="101">
        <f t="shared" si="1"/>
        <v>1.6900279042683652E-2</v>
      </c>
      <c r="G24" s="13">
        <f t="shared" si="2"/>
        <v>325.33037157166029</v>
      </c>
      <c r="H24" s="102">
        <f t="shared" si="3"/>
        <v>5.1647939604962737E-3</v>
      </c>
    </row>
    <row r="25" spans="2:8" x14ac:dyDescent="0.25">
      <c r="B25" s="21" t="s">
        <v>2</v>
      </c>
      <c r="C25" s="22">
        <v>1445</v>
      </c>
      <c r="D25" s="23">
        <v>0.18298192771084337</v>
      </c>
      <c r="E25" s="100">
        <f t="shared" si="0"/>
        <v>264.40888554216866</v>
      </c>
      <c r="F25" s="101">
        <f t="shared" si="1"/>
        <v>3.9404994184940163E-4</v>
      </c>
      <c r="G25" s="13">
        <f t="shared" si="2"/>
        <v>7.5854613806009814</v>
      </c>
      <c r="H25" s="102">
        <f t="shared" si="3"/>
        <v>5.2494542426304372E-3</v>
      </c>
    </row>
    <row r="26" spans="2:8" x14ac:dyDescent="0.25">
      <c r="B26" s="21" t="s">
        <v>8</v>
      </c>
      <c r="C26" s="22">
        <v>16425</v>
      </c>
      <c r="D26" s="23">
        <v>0.18330974134603012</v>
      </c>
      <c r="E26" s="100">
        <f t="shared" si="0"/>
        <v>3010.8625016085448</v>
      </c>
      <c r="F26" s="101">
        <f t="shared" si="1"/>
        <v>4.487104097287138E-3</v>
      </c>
      <c r="G26" s="13">
        <f t="shared" si="2"/>
        <v>86.3767538727774</v>
      </c>
      <c r="H26" s="102">
        <f t="shared" si="3"/>
        <v>5.2588586832741186E-3</v>
      </c>
    </row>
    <row r="27" spans="2:8" x14ac:dyDescent="0.25">
      <c r="B27" s="21" t="s">
        <v>35</v>
      </c>
      <c r="C27" s="22">
        <v>777490</v>
      </c>
      <c r="D27" s="23">
        <v>0.18505209140070983</v>
      </c>
      <c r="E27" s="100">
        <f t="shared" si="0"/>
        <v>143876.15054313789</v>
      </c>
      <c r="F27" s="101">
        <f t="shared" si="1"/>
        <v>0.21441937792214422</v>
      </c>
      <c r="G27" s="13">
        <f t="shared" si="2"/>
        <v>4127.5730250012766</v>
      </c>
      <c r="H27" s="102">
        <f t="shared" si="3"/>
        <v>5.3088438758071184E-3</v>
      </c>
    </row>
    <row r="28" spans="2:8" x14ac:dyDescent="0.25">
      <c r="B28" s="21" t="s">
        <v>21</v>
      </c>
      <c r="C28" s="22">
        <v>67110</v>
      </c>
      <c r="D28" s="23">
        <v>0.18588746322453442</v>
      </c>
      <c r="E28" s="100">
        <f t="shared" si="0"/>
        <v>12474.907656998505</v>
      </c>
      <c r="F28" s="101">
        <f t="shared" si="1"/>
        <v>1.8591419977196419E-2</v>
      </c>
      <c r="G28" s="13">
        <f t="shared" si="2"/>
        <v>357.88483456103108</v>
      </c>
      <c r="H28" s="102">
        <f t="shared" si="3"/>
        <v>5.3328093363288788E-3</v>
      </c>
    </row>
    <row r="29" spans="2:8" x14ac:dyDescent="0.25">
      <c r="B29" s="21" t="s">
        <v>14</v>
      </c>
      <c r="C29" s="22">
        <v>26625</v>
      </c>
      <c r="D29" s="23">
        <v>0.18805265474332813</v>
      </c>
      <c r="E29" s="100">
        <f t="shared" si="0"/>
        <v>5006.9019325411118</v>
      </c>
      <c r="F29" s="101">
        <f t="shared" si="1"/>
        <v>7.4618120768442445E-3</v>
      </c>
      <c r="G29" s="13">
        <f t="shared" si="2"/>
        <v>143.6398824792517</v>
      </c>
      <c r="H29" s="102">
        <f t="shared" si="3"/>
        <v>5.3949251635399698E-3</v>
      </c>
    </row>
    <row r="30" spans="2:8" x14ac:dyDescent="0.25">
      <c r="B30" s="21" t="s">
        <v>31</v>
      </c>
      <c r="C30" s="22">
        <v>329770</v>
      </c>
      <c r="D30" s="23">
        <v>0.1906937388803274</v>
      </c>
      <c r="E30" s="100">
        <f t="shared" si="0"/>
        <v>62885.074270565565</v>
      </c>
      <c r="F30" s="101">
        <f t="shared" si="1"/>
        <v>9.3717954329336273E-2</v>
      </c>
      <c r="G30" s="13">
        <f t="shared" si="2"/>
        <v>1804.0706208397232</v>
      </c>
      <c r="H30" s="102">
        <f t="shared" si="3"/>
        <v>5.470693576855758E-3</v>
      </c>
    </row>
    <row r="31" spans="2:8" x14ac:dyDescent="0.25">
      <c r="B31" s="21" t="s">
        <v>7</v>
      </c>
      <c r="C31" s="22">
        <v>11630</v>
      </c>
      <c r="D31" s="23">
        <v>0.19308924894816937</v>
      </c>
      <c r="E31" s="100">
        <f t="shared" si="0"/>
        <v>2245.6279652672097</v>
      </c>
      <c r="F31" s="101">
        <f t="shared" si="1"/>
        <v>3.3466710746670779E-3</v>
      </c>
      <c r="G31" s="13">
        <f t="shared" si="2"/>
        <v>64.423418187341255</v>
      </c>
      <c r="H31" s="102">
        <f t="shared" si="3"/>
        <v>5.5394168690749146E-3</v>
      </c>
    </row>
    <row r="32" spans="2:8" x14ac:dyDescent="0.25">
      <c r="B32" s="21" t="s">
        <v>28</v>
      </c>
      <c r="C32" s="22">
        <v>120860</v>
      </c>
      <c r="D32" s="23">
        <v>0.19492032553686225</v>
      </c>
      <c r="E32" s="100">
        <f t="shared" si="0"/>
        <v>23558.070544385173</v>
      </c>
      <c r="F32" s="101">
        <f t="shared" si="1"/>
        <v>3.5108715461903764E-2</v>
      </c>
      <c r="G32" s="13">
        <f t="shared" si="2"/>
        <v>675.84277264164746</v>
      </c>
      <c r="H32" s="102">
        <f t="shared" si="3"/>
        <v>5.5919474817280115E-3</v>
      </c>
    </row>
    <row r="33" spans="2:8" x14ac:dyDescent="0.25">
      <c r="B33" s="21" t="s">
        <v>27</v>
      </c>
      <c r="C33" s="22">
        <v>109910</v>
      </c>
      <c r="D33" s="23">
        <v>0.19672487637921091</v>
      </c>
      <c r="E33" s="100">
        <f t="shared" si="0"/>
        <v>21622.03116283907</v>
      </c>
      <c r="F33" s="101">
        <f t="shared" si="1"/>
        <v>3.2223425869036711E-2</v>
      </c>
      <c r="G33" s="13">
        <f t="shared" si="2"/>
        <v>620.30094797895663</v>
      </c>
      <c r="H33" s="102">
        <f t="shared" si="3"/>
        <v>5.6437171138109055E-3</v>
      </c>
    </row>
    <row r="34" spans="2:8" x14ac:dyDescent="0.25">
      <c r="B34" s="21" t="s">
        <v>24</v>
      </c>
      <c r="C34" s="22">
        <v>83720</v>
      </c>
      <c r="D34" s="23">
        <v>0.19677246355614061</v>
      </c>
      <c r="E34" s="100">
        <f t="shared" si="0"/>
        <v>16473.79064892009</v>
      </c>
      <c r="F34" s="101">
        <f t="shared" si="1"/>
        <v>2.455097616683875E-2</v>
      </c>
      <c r="G34" s="13">
        <f t="shared" si="2"/>
        <v>472.60629121164595</v>
      </c>
      <c r="H34" s="102">
        <f t="shared" si="3"/>
        <v>5.645082312609245E-3</v>
      </c>
    </row>
    <row r="35" spans="2:8" x14ac:dyDescent="0.25">
      <c r="B35" s="21" t="s">
        <v>32</v>
      </c>
      <c r="C35" s="22">
        <v>362150</v>
      </c>
      <c r="D35" s="23">
        <v>0.20368090748548978</v>
      </c>
      <c r="E35" s="100">
        <f t="shared" si="0"/>
        <v>73763.040645870118</v>
      </c>
      <c r="F35" s="101">
        <f t="shared" si="1"/>
        <v>0.10992944438134092</v>
      </c>
      <c r="G35" s="13">
        <f t="shared" si="2"/>
        <v>2116.1418043408125</v>
      </c>
      <c r="H35" s="102">
        <f t="shared" si="3"/>
        <v>5.8432743458257975E-3</v>
      </c>
    </row>
    <row r="36" spans="2:8" x14ac:dyDescent="0.25">
      <c r="B36" s="21" t="s">
        <v>9</v>
      </c>
      <c r="C36" s="22">
        <v>21085</v>
      </c>
      <c r="D36" s="23">
        <v>0.20790735985270603</v>
      </c>
      <c r="E36" s="100">
        <f t="shared" si="0"/>
        <v>4383.7266824943063</v>
      </c>
      <c r="F36" s="101">
        <f t="shared" si="1"/>
        <v>6.5330907498759531E-3</v>
      </c>
      <c r="G36" s="13">
        <f t="shared" si="2"/>
        <v>125.76199693511209</v>
      </c>
      <c r="H36" s="102">
        <f t="shared" si="3"/>
        <v>5.96452439815566E-3</v>
      </c>
    </row>
    <row r="37" spans="2:8" x14ac:dyDescent="0.25">
      <c r="B37" s="21" t="s">
        <v>10</v>
      </c>
      <c r="C37" s="22">
        <v>22445</v>
      </c>
      <c r="D37" s="23">
        <v>0.20853554096488724</v>
      </c>
      <c r="E37" s="100">
        <f t="shared" si="0"/>
        <v>4680.5802169568942</v>
      </c>
      <c r="F37" s="101">
        <f t="shared" si="1"/>
        <v>6.9754931213125834E-3</v>
      </c>
      <c r="G37" s="13">
        <f t="shared" si="2"/>
        <v>134.27824258526724</v>
      </c>
      <c r="H37" s="102">
        <f t="shared" si="3"/>
        <v>5.9825458937521605E-3</v>
      </c>
    </row>
    <row r="38" spans="2:8" x14ac:dyDescent="0.25">
      <c r="B38" s="21" t="s">
        <v>4</v>
      </c>
      <c r="C38" s="22">
        <v>7295</v>
      </c>
      <c r="D38" s="23">
        <v>0.21111577768444631</v>
      </c>
      <c r="E38" s="100">
        <f t="shared" si="0"/>
        <v>1540.0895982080358</v>
      </c>
      <c r="F38" s="101">
        <f t="shared" si="1"/>
        <v>2.2952035646319428E-3</v>
      </c>
      <c r="G38" s="13">
        <f t="shared" si="2"/>
        <v>44.1826686191649</v>
      </c>
      <c r="H38" s="102">
        <f t="shared" si="3"/>
        <v>6.0565686935112953E-3</v>
      </c>
    </row>
    <row r="39" spans="2:8" x14ac:dyDescent="0.25">
      <c r="B39" s="21" t="s">
        <v>25</v>
      </c>
      <c r="C39" s="22">
        <v>90005</v>
      </c>
      <c r="D39" s="23">
        <v>0.2266198138215893</v>
      </c>
      <c r="E39" s="100">
        <f t="shared" si="0"/>
        <v>20396.916343012144</v>
      </c>
      <c r="F39" s="101">
        <f t="shared" si="1"/>
        <v>3.0397630860212591E-2</v>
      </c>
      <c r="G39" s="13">
        <f t="shared" si="2"/>
        <v>585.1543940590924</v>
      </c>
      <c r="H39" s="102">
        <f t="shared" si="3"/>
        <v>6.5013543031952935E-3</v>
      </c>
    </row>
    <row r="40" spans="2:8" x14ac:dyDescent="0.25">
      <c r="B40" s="21" t="s">
        <v>16</v>
      </c>
      <c r="C40" s="22">
        <v>31480</v>
      </c>
      <c r="D40" s="23">
        <v>0.28389830508474578</v>
      </c>
      <c r="E40" s="100">
        <f t="shared" si="0"/>
        <v>8937.1186440677975</v>
      </c>
      <c r="F40" s="101">
        <f t="shared" si="1"/>
        <v>1.3319034550502928E-2</v>
      </c>
      <c r="G40" s="13">
        <f t="shared" si="2"/>
        <v>256.39141509718138</v>
      </c>
      <c r="H40" s="102">
        <f t="shared" si="3"/>
        <v>8.1445811657300318E-3</v>
      </c>
    </row>
    <row r="41" spans="2:8" x14ac:dyDescent="0.25">
      <c r="B41" s="7" t="s">
        <v>36</v>
      </c>
      <c r="C41" s="38">
        <f>SUM(C7:C40)</f>
        <v>4013845</v>
      </c>
      <c r="D41" s="38"/>
      <c r="E41" s="38">
        <f>SUM(E7:E40)</f>
        <v>671003.48829189956</v>
      </c>
      <c r="F41" s="103">
        <f>SUM(F7:F40)</f>
        <v>1.0000000000000002</v>
      </c>
      <c r="G41" s="104">
        <f>SUM(G7:G40)</f>
        <v>19250</v>
      </c>
      <c r="H41" s="105">
        <f t="shared" si="3"/>
        <v>4.7959001904657505E-3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Summary</vt:lpstr>
      <vt:lpstr>Compare old and new formula</vt:lpstr>
      <vt:lpstr>WIN</vt:lpstr>
      <vt:lpstr>CT</vt:lpstr>
      <vt:lpstr>Ethnicity</vt:lpstr>
      <vt:lpstr>Language</vt:lpstr>
      <vt:lpstr>UrbanRural</vt:lpstr>
      <vt:lpstr>Poverty</vt:lpstr>
      <vt:lpstr>CT!IDX</vt:lpstr>
    </vt:vector>
  </TitlesOfParts>
  <Company>Oregon DHS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Linz Rachel S</dc:creator>
  <cp:lastModifiedBy>Linz Rachel S</cp:lastModifiedBy>
  <dcterms:created xsi:type="dcterms:W3CDTF">2018-01-30T17:23:04Z</dcterms:created>
  <dcterms:modified xsi:type="dcterms:W3CDTF">2018-02-06T23:10:06Z</dcterms:modified>
</cp:coreProperties>
</file>