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autoCompressPictures="0"/>
  <bookViews>
    <workbookView xWindow="940" yWindow="940" windowWidth="17040" windowHeight="10300"/>
  </bookViews>
  <sheets>
    <sheet name="$900K $5K Base" sheetId="10" r:id="rId1"/>
    <sheet name="Funding by FY" sheetId="12" r:id="rId2"/>
    <sheet name="PSU data" sheetId="5" r:id="rId3"/>
  </sheets>
  <definedNames>
    <definedName name="_xlnm.Print_Area" localSheetId="0">'$900K $5K Base'!$A$1:$M$43</definedName>
    <definedName name="_xlnm.Print_Area" localSheetId="1">'Funding by FY'!$A$1:$F$41</definedName>
    <definedName name="_xlnm.Print_Area" localSheetId="2">'PSU data'!$A$1:$E$45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2" l="1"/>
  <c r="F6" i="12"/>
  <c r="F7" i="12"/>
  <c r="F8" i="12"/>
  <c r="F9" i="12"/>
  <c r="F10" i="12"/>
  <c r="F11" i="12"/>
  <c r="F12" i="12"/>
  <c r="F13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3" i="12"/>
  <c r="F34" i="12"/>
  <c r="F35" i="12"/>
  <c r="F36" i="12"/>
  <c r="F38" i="12"/>
  <c r="F39" i="12"/>
  <c r="F40" i="12"/>
  <c r="J17" i="10"/>
  <c r="F4" i="12"/>
  <c r="M17" i="10"/>
  <c r="M16" i="10"/>
  <c r="M15" i="10"/>
  <c r="M14" i="10"/>
  <c r="M13" i="10"/>
  <c r="J7" i="10"/>
  <c r="L18" i="10"/>
  <c r="J5" i="10"/>
  <c r="J6" i="10"/>
  <c r="J10" i="10"/>
  <c r="J12" i="10"/>
  <c r="M12" i="10"/>
  <c r="J18" i="10"/>
  <c r="D42" i="10"/>
  <c r="B42" i="10"/>
  <c r="D41" i="10"/>
  <c r="B41" i="10"/>
  <c r="D40" i="10"/>
  <c r="B40" i="10"/>
  <c r="D38" i="10"/>
  <c r="B38" i="10"/>
  <c r="D37" i="10"/>
  <c r="B37" i="10"/>
  <c r="D36" i="10"/>
  <c r="B36" i="10"/>
  <c r="D35" i="10"/>
  <c r="B35" i="10"/>
  <c r="D33" i="10"/>
  <c r="B33" i="10"/>
  <c r="D32" i="10"/>
  <c r="B32" i="10"/>
  <c r="D31" i="10"/>
  <c r="B31" i="10"/>
  <c r="D30" i="10"/>
  <c r="B30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B8" i="10"/>
  <c r="D7" i="10"/>
  <c r="B7" i="10"/>
  <c r="D6" i="10"/>
  <c r="B6" i="10"/>
  <c r="B5" i="10"/>
  <c r="D43" i="10"/>
  <c r="B43" i="10"/>
  <c r="C22" i="10"/>
  <c r="C18" i="10"/>
  <c r="C34" i="10"/>
  <c r="C17" i="10"/>
  <c r="C11" i="10"/>
  <c r="B3" i="10"/>
  <c r="C3" i="10"/>
  <c r="E11" i="10"/>
  <c r="C39" i="10"/>
  <c r="C28" i="10"/>
  <c r="C20" i="10"/>
  <c r="C6" i="10"/>
  <c r="C27" i="10"/>
  <c r="C19" i="10"/>
  <c r="C8" i="10"/>
  <c r="C36" i="10"/>
  <c r="C30" i="10"/>
  <c r="C12" i="10"/>
  <c r="C9" i="10"/>
  <c r="C23" i="10"/>
  <c r="C37" i="10"/>
  <c r="C10" i="10"/>
  <c r="C24" i="10"/>
  <c r="C38" i="10"/>
  <c r="E38" i="10"/>
  <c r="C40" i="10"/>
  <c r="C16" i="10"/>
  <c r="C29" i="10"/>
  <c r="C41" i="10"/>
  <c r="C15" i="10"/>
  <c r="C25" i="10"/>
  <c r="C26" i="10"/>
  <c r="C42" i="10"/>
  <c r="C33" i="10"/>
  <c r="C13" i="10"/>
  <c r="E13" i="10"/>
  <c r="F13" i="10"/>
  <c r="B11" i="12"/>
  <c r="C31" i="10"/>
  <c r="C14" i="10"/>
  <c r="C32" i="10"/>
  <c r="C7" i="10"/>
  <c r="E7" i="10"/>
  <c r="C21" i="10"/>
  <c r="E21" i="10"/>
  <c r="C35" i="10"/>
  <c r="E35" i="10"/>
  <c r="E40" i="10"/>
  <c r="F40" i="10"/>
  <c r="B38" i="12"/>
  <c r="F38" i="10"/>
  <c r="B36" i="12"/>
  <c r="E34" i="10"/>
  <c r="F34" i="10"/>
  <c r="B32" i="12"/>
  <c r="E32" i="10"/>
  <c r="F32" i="10"/>
  <c r="B30" i="12"/>
  <c r="E28" i="10"/>
  <c r="F28" i="10"/>
  <c r="B26" i="12"/>
  <c r="E24" i="10"/>
  <c r="F24" i="10"/>
  <c r="B22" i="12"/>
  <c r="E20" i="10"/>
  <c r="F20" i="10"/>
  <c r="B18" i="12"/>
  <c r="E16" i="10"/>
  <c r="F16" i="10"/>
  <c r="B14" i="12"/>
  <c r="E14" i="10"/>
  <c r="F14" i="10"/>
  <c r="B12" i="12"/>
  <c r="E10" i="10"/>
  <c r="F10" i="10"/>
  <c r="B8" i="12"/>
  <c r="E6" i="10"/>
  <c r="E39" i="10"/>
  <c r="F39" i="10"/>
  <c r="B37" i="12"/>
  <c r="E37" i="10"/>
  <c r="F37" i="10"/>
  <c r="B35" i="12"/>
  <c r="E31" i="10"/>
  <c r="F31" i="10"/>
  <c r="B29" i="12"/>
  <c r="E27" i="10"/>
  <c r="F27" i="10"/>
  <c r="B25" i="12"/>
  <c r="E23" i="10"/>
  <c r="F23" i="10"/>
  <c r="B21" i="12"/>
  <c r="E19" i="10"/>
  <c r="F19" i="10"/>
  <c r="B17" i="12"/>
  <c r="E9" i="10"/>
  <c r="F9" i="10"/>
  <c r="B7" i="12"/>
  <c r="E42" i="10"/>
  <c r="F42" i="10"/>
  <c r="B40" i="12"/>
  <c r="E36" i="10"/>
  <c r="F36" i="10"/>
  <c r="B34" i="12"/>
  <c r="E30" i="10"/>
  <c r="F30" i="10"/>
  <c r="B28" i="12"/>
  <c r="E26" i="10"/>
  <c r="F26" i="10"/>
  <c r="B24" i="12"/>
  <c r="E22" i="10"/>
  <c r="F22" i="10"/>
  <c r="B20" i="12"/>
  <c r="E18" i="10"/>
  <c r="F18" i="10"/>
  <c r="B16" i="12"/>
  <c r="E12" i="10"/>
  <c r="F12" i="10"/>
  <c r="B10" i="12"/>
  <c r="E8" i="10"/>
  <c r="F8" i="10"/>
  <c r="B6" i="12"/>
  <c r="E41" i="10"/>
  <c r="F41" i="10"/>
  <c r="B39" i="12"/>
  <c r="F35" i="10"/>
  <c r="B33" i="12"/>
  <c r="E33" i="10"/>
  <c r="F33" i="10"/>
  <c r="B31" i="12"/>
  <c r="E29" i="10"/>
  <c r="F29" i="10"/>
  <c r="B27" i="12"/>
  <c r="E25" i="10"/>
  <c r="F25" i="10"/>
  <c r="B23" i="12"/>
  <c r="F21" i="10"/>
  <c r="B19" i="12"/>
  <c r="E17" i="10"/>
  <c r="F17" i="10"/>
  <c r="B15" i="12"/>
  <c r="E15" i="10"/>
  <c r="F15" i="10"/>
  <c r="B13" i="12"/>
  <c r="F11" i="10"/>
  <c r="B9" i="12"/>
  <c r="F7" i="10"/>
  <c r="B5" i="12"/>
  <c r="D37" i="12"/>
  <c r="C37" i="12"/>
  <c r="E37" i="12"/>
  <c r="F37" i="12"/>
  <c r="D14" i="12"/>
  <c r="C14" i="12"/>
  <c r="C32" i="12"/>
  <c r="D32" i="12"/>
  <c r="E43" i="10"/>
  <c r="C43" i="10"/>
  <c r="F43" i="10"/>
  <c r="F6" i="10"/>
  <c r="B4" i="12"/>
  <c r="B41" i="12"/>
  <c r="E14" i="12"/>
  <c r="F14" i="12"/>
  <c r="E32" i="12"/>
  <c r="F32" i="12"/>
  <c r="D41" i="12"/>
  <c r="C41" i="12"/>
  <c r="F41" i="12"/>
  <c r="E41" i="12"/>
</calcChain>
</file>

<file path=xl/sharedStrings.xml><?xml version="1.0" encoding="utf-8"?>
<sst xmlns="http://schemas.openxmlformats.org/spreadsheetml/2006/main" count="158" uniqueCount="79">
  <si>
    <t>Population</t>
  </si>
  <si>
    <t>% of Pop</t>
  </si>
  <si>
    <t>Per Cap</t>
  </si>
  <si>
    <t>Base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</si>
  <si>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</si>
  <si>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</si>
  <si>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</si>
  <si>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</si>
  <si>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</si>
  <si>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</si>
  <si>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</si>
  <si>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</si>
  <si>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</si>
  <si>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</si>
  <si>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</si>
  <si>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</si>
  <si>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</si>
  <si>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</si>
  <si>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</si>
  <si>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</si>
  <si>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</si>
  <si>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</si>
  <si>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</si>
  <si>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</si>
  <si>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</si>
  <si>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</si>
  <si>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</si>
  <si>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</si>
  <si>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</si>
  <si>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</si>
  <si>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</si>
  <si>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</si>
  <si>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</si>
  <si>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</si>
  <si>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</si>
  <si>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</si>
  <si>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</si>
  <si>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</si>
  <si>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</si>
  <si>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</si>
  <si>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Totals</t>
  </si>
  <si>
    <t>Oregon</t>
  </si>
  <si>
    <t>Option 3:  Reduction across the board</t>
  </si>
  <si>
    <t>NORTH CENTRAL PHD (includes Gilliam, Sherman and Wasco)</t>
  </si>
  <si>
    <t>Certified Population Estimate July 1, 2013</t>
  </si>
  <si>
    <t>Base Awards</t>
  </si>
  <si>
    <r>
      <rPr>
        <b/>
        <u/>
        <sz val="10"/>
        <color indexed="8"/>
        <rFont val="Calibri"/>
        <family val="2"/>
      </rPr>
      <t>FORMULA</t>
    </r>
    <r>
      <rPr>
        <b/>
        <sz val="10"/>
        <color indexed="8"/>
        <rFont val="Calibri"/>
        <family val="2"/>
      </rPr>
      <t xml:space="preserve"> </t>
    </r>
    <r>
      <rPr>
        <b/>
        <u/>
        <sz val="10"/>
        <color indexed="8"/>
        <rFont val="Calibri"/>
        <family val="2"/>
      </rPr>
      <t>PHEP Supplemental Ebola Funding</t>
    </r>
  </si>
  <si>
    <t>Award</t>
  </si>
  <si>
    <t>Population Estimates for Oregon and Counties</t>
  </si>
  <si>
    <t>Certified Population Estimate July 1, 2014</t>
  </si>
  <si>
    <t>Population Change 2013-14</t>
  </si>
  <si>
    <t>Percent Change 2013-14</t>
  </si>
  <si>
    <t>Prepared by Population Research Center</t>
  </si>
  <si>
    <t>College of Urban and Public Affairs</t>
  </si>
  <si>
    <t>For Portland State University</t>
  </si>
  <si>
    <t>Dec. 15, 2014</t>
  </si>
  <si>
    <t xml:space="preserve">DRAFT PHEP EBOLA SUPPLEMENT 2 </t>
  </si>
  <si>
    <t>Total Grant</t>
  </si>
  <si>
    <t>Total Direct</t>
  </si>
  <si>
    <t>State</t>
  </si>
  <si>
    <t>LHD</t>
  </si>
  <si>
    <t>Total</t>
  </si>
  <si>
    <t>Lab Testing: Equipment, Maintenance Agreement &amp; Supplies</t>
  </si>
  <si>
    <t>Distribution to Tribes</t>
  </si>
  <si>
    <t>Waste Management Contract</t>
  </si>
  <si>
    <t xml:space="preserve"> HSPR Travel, Training &amp; Exercise costs</t>
  </si>
  <si>
    <t>% of TOTAL Direct Funds</t>
  </si>
  <si>
    <t>Less Cost Allocation</t>
  </si>
  <si>
    <t>Direct Available</t>
  </si>
  <si>
    <t>Direct Charges: Rent, State Govt, Telecoms, IT &amp; Risk Liability</t>
  </si>
  <si>
    <t xml:space="preserve">$900K with $5K Base - Remaining per Population </t>
  </si>
  <si>
    <t>Funding by FY for PE 09</t>
  </si>
  <si>
    <t>4/1/15-9/30/16 AWARD</t>
  </si>
  <si>
    <t>FY16 Award (07/15-06/16)</t>
  </si>
  <si>
    <t>FY15 Award (04/15-06/15)</t>
  </si>
  <si>
    <t>FY17 Award (07/16-09/16)</t>
  </si>
  <si>
    <t>SUM OF ALL FY AWARDS</t>
  </si>
  <si>
    <t xml:space="preserve"> Program Element # 09:  Public Health Emergency Preparedness Program (PHEP) Supplemental Ebola Funding</t>
  </si>
  <si>
    <t>Program Element # 09:  Public Health Emergency Preparedness Program (PHEP) Supplemental Ebola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</si>
</sst>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0.000%"/>
    <numFmt numFmtId="168" formatCode="0.0%"/>
    <numFmt numFmtId="169" formatCode="[$-409]mmmm\ d\,\ yyyy;@"/>
    <numFmt numFmtId="170" formatCode="0.000000"/>
    <numFmt numFmtId="171" formatCode="&quot;$&quot;#,##0"/>
  </numFmts>
  <fonts count="23" x14ac:knownFonts="1">
    <font>
      <sz val="11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sz val="10"/>
      <color indexed="11"/>
      <name val="Arial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color theme="0"/>
      <name val="Calibri"/>
      <family val="2"/>
      <scheme val="minor"/>
    </font>
    <font>
      <b/>
      <u/>
      <sz val="12"/>
      <color rgb="FF000000"/>
      <name val="Times New Roman"/>
      <family val="1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4">
    <xf numFmtId="0" fontId="0" fillId="0" borderId="0"/>
    <xf numFmtId="40" fontId="5" fillId="0" borderId="0" applyNumberFormat="0" applyFill="0" applyBorder="0" applyAlignment="0" applyProtection="0"/>
    <xf numFmtId="39" fontId="3" fillId="0" borderId="1" applyNumberFormat="0" applyFont="0" applyFill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3" fillId="0" borderId="2" applyNumberFormat="0" applyFont="0" applyFill="0" applyAlignment="0" applyProtection="0"/>
    <xf numFmtId="40" fontId="6" fillId="0" borderId="0" applyNumberFormat="0" applyFill="0" applyBorder="0" applyAlignment="0" applyProtection="0"/>
    <xf numFmtId="40" fontId="3" fillId="0" borderId="1" applyNumberFormat="0" applyFon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40" fontId="3" fillId="2" borderId="0" applyNumberFormat="0" applyFon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0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3" fontId="3" fillId="0" borderId="0" xfId="13" applyNumberFormat="1" applyFont="1" applyBorder="1" applyAlignment="1">
      <alignment horizontal="center" wrapText="1"/>
    </xf>
    <xf numFmtId="0" fontId="3" fillId="0" borderId="0" xfId="0" applyFont="1"/>
    <xf numFmtId="0" fontId="11" fillId="0" borderId="9" xfId="0" applyFont="1" applyBorder="1"/>
    <xf numFmtId="0" fontId="11" fillId="0" borderId="8" xfId="0" applyFont="1" applyBorder="1"/>
    <xf numFmtId="3" fontId="11" fillId="0" borderId="10" xfId="0" applyNumberFormat="1" applyFont="1" applyBorder="1"/>
    <xf numFmtId="168" fontId="11" fillId="0" borderId="11" xfId="14" applyNumberFormat="1" applyFont="1" applyBorder="1"/>
    <xf numFmtId="0" fontId="11" fillId="0" borderId="3" xfId="0" applyFont="1" applyBorder="1"/>
    <xf numFmtId="3" fontId="3" fillId="0" borderId="0" xfId="0" applyNumberFormat="1" applyFont="1" applyBorder="1"/>
    <xf numFmtId="168" fontId="3" fillId="0" borderId="4" xfId="14" applyNumberFormat="1" applyFont="1" applyBorder="1"/>
    <xf numFmtId="3" fontId="0" fillId="0" borderId="0" xfId="0" applyNumberFormat="1"/>
    <xf numFmtId="0" fontId="3" fillId="0" borderId="3" xfId="0" applyFont="1" applyBorder="1"/>
    <xf numFmtId="0" fontId="3" fillId="0" borderId="6" xfId="0" applyFont="1" applyBorder="1"/>
    <xf numFmtId="3" fontId="3" fillId="0" borderId="5" xfId="0" applyNumberFormat="1" applyFont="1" applyBorder="1"/>
    <xf numFmtId="168" fontId="3" fillId="0" borderId="7" xfId="14" applyNumberFormat="1" applyFont="1" applyBorder="1"/>
    <xf numFmtId="3" fontId="3" fillId="0" borderId="0" xfId="0" applyNumberFormat="1" applyFont="1"/>
    <xf numFmtId="0" fontId="3" fillId="0" borderId="0" xfId="0" applyFont="1" applyFill="1" applyBorder="1"/>
    <xf numFmtId="169" fontId="3" fillId="0" borderId="0" xfId="0" applyNumberFormat="1" applyFont="1" applyAlignment="1">
      <alignment horizontal="left"/>
    </xf>
    <xf numFmtId="3" fontId="11" fillId="0" borderId="0" xfId="0" applyNumberFormat="1" applyFont="1" applyFill="1"/>
    <xf numFmtId="10" fontId="11" fillId="0" borderId="0" xfId="14" applyNumberFormat="1" applyFont="1" applyFill="1"/>
    <xf numFmtId="0" fontId="9" fillId="3" borderId="3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3" fontId="3" fillId="0" borderId="1" xfId="13" applyNumberFormat="1" applyFont="1" applyBorder="1"/>
    <xf numFmtId="166" fontId="3" fillId="0" borderId="1" xfId="4" applyNumberFormat="1" applyFont="1" applyBorder="1"/>
    <xf numFmtId="166" fontId="3" fillId="0" borderId="17" xfId="4" applyNumberFormat="1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3" fontId="4" fillId="0" borderId="13" xfId="12" applyNumberFormat="1" applyFont="1" applyBorder="1"/>
    <xf numFmtId="3" fontId="4" fillId="0" borderId="13" xfId="12" applyNumberFormat="1" applyFont="1" applyFill="1" applyBorder="1" applyAlignment="1">
      <alignment wrapText="1"/>
    </xf>
    <xf numFmtId="3" fontId="4" fillId="0" borderId="13" xfId="12" applyNumberFormat="1" applyFont="1" applyBorder="1" applyAlignment="1">
      <alignment wrapText="1"/>
    </xf>
    <xf numFmtId="167" fontId="3" fillId="0" borderId="12" xfId="19" applyNumberFormat="1" applyFont="1" applyBorder="1"/>
    <xf numFmtId="166" fontId="3" fillId="0" borderId="13" xfId="4" applyNumberFormat="1" applyFont="1" applyBorder="1"/>
    <xf numFmtId="166" fontId="3" fillId="0" borderId="13" xfId="4" applyNumberFormat="1" applyFont="1" applyFill="1" applyBorder="1"/>
    <xf numFmtId="166" fontId="3" fillId="3" borderId="14" xfId="4" applyNumberFormat="1" applyFont="1" applyFill="1" applyBorder="1"/>
    <xf numFmtId="1" fontId="9" fillId="0" borderId="10" xfId="0" applyNumberFormat="1" applyFont="1" applyBorder="1"/>
    <xf numFmtId="166" fontId="3" fillId="0" borderId="20" xfId="4" applyNumberFormat="1" applyFont="1" applyBorder="1"/>
    <xf numFmtId="166" fontId="3" fillId="3" borderId="21" xfId="4" applyNumberFormat="1" applyFont="1" applyFill="1" applyBorder="1"/>
    <xf numFmtId="3" fontId="3" fillId="3" borderId="6" xfId="13" applyNumberFormat="1" applyFont="1" applyFill="1" applyBorder="1" applyAlignment="1">
      <alignment horizontal="center" wrapText="1"/>
    </xf>
    <xf numFmtId="166" fontId="3" fillId="3" borderId="5" xfId="3" applyNumberFormat="1" applyFont="1" applyFill="1" applyBorder="1" applyAlignment="1">
      <alignment horizontal="center" wrapText="1"/>
    </xf>
    <xf numFmtId="3" fontId="3" fillId="3" borderId="7" xfId="13" applyNumberFormat="1" applyFont="1" applyFill="1" applyBorder="1" applyAlignment="1">
      <alignment horizontal="center" wrapText="1"/>
    </xf>
    <xf numFmtId="3" fontId="11" fillId="0" borderId="18" xfId="13" applyNumberFormat="1" applyFont="1" applyBorder="1"/>
    <xf numFmtId="166" fontId="11" fillId="0" borderId="18" xfId="4" applyNumberFormat="1" applyFont="1" applyBorder="1"/>
    <xf numFmtId="3" fontId="12" fillId="0" borderId="15" xfId="12" applyNumberFormat="1" applyFont="1" applyFill="1" applyBorder="1"/>
    <xf numFmtId="9" fontId="11" fillId="0" borderId="19" xfId="19" applyFont="1" applyBorder="1"/>
    <xf numFmtId="3" fontId="11" fillId="0" borderId="15" xfId="13" applyNumberFormat="1" applyFont="1" applyBorder="1"/>
    <xf numFmtId="166" fontId="11" fillId="3" borderId="16" xfId="4" applyNumberFormat="1" applyFont="1" applyFill="1" applyBorder="1"/>
    <xf numFmtId="0" fontId="13" fillId="0" borderId="0" xfId="0" applyFont="1"/>
    <xf numFmtId="164" fontId="13" fillId="0" borderId="0" xfId="0" applyNumberFormat="1" applyFont="1"/>
    <xf numFmtId="1" fontId="13" fillId="0" borderId="0" xfId="0" applyNumberFormat="1" applyFont="1"/>
    <xf numFmtId="170" fontId="13" fillId="0" borderId="0" xfId="0" applyNumberFormat="1" applyFont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" fontId="3" fillId="0" borderId="0" xfId="13" applyNumberFormat="1" applyFont="1" applyFill="1" applyBorder="1" applyAlignment="1">
      <alignment horizontal="center" wrapText="1"/>
    </xf>
    <xf numFmtId="166" fontId="3" fillId="0" borderId="0" xfId="4" applyNumberFormat="1" applyFont="1" applyFill="1" applyBorder="1"/>
    <xf numFmtId="166" fontId="11" fillId="0" borderId="0" xfId="4" applyNumberFormat="1" applyFont="1" applyFill="1" applyBorder="1"/>
    <xf numFmtId="0" fontId="9" fillId="0" borderId="0" xfId="0" applyFont="1" applyFill="1"/>
    <xf numFmtId="0" fontId="13" fillId="0" borderId="0" xfId="0" applyFont="1" applyFill="1"/>
    <xf numFmtId="0" fontId="11" fillId="0" borderId="0" xfId="0" applyFont="1"/>
    <xf numFmtId="0" fontId="11" fillId="0" borderId="10" xfId="0" applyFont="1" applyBorder="1" applyAlignment="1">
      <alignment horizontal="center" wrapText="1"/>
    </xf>
    <xf numFmtId="15" fontId="11" fillId="0" borderId="10" xfId="0" applyNumberFormat="1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3" fontId="11" fillId="0" borderId="0" xfId="0" applyNumberFormat="1" applyFont="1" applyBorder="1"/>
    <xf numFmtId="3" fontId="16" fillId="0" borderId="0" xfId="13" applyNumberFormat="1" applyFont="1" applyBorder="1" applyAlignment="1">
      <alignment horizontal="center" wrapText="1"/>
    </xf>
    <xf numFmtId="171" fontId="3" fillId="0" borderId="1" xfId="21" applyNumberFormat="1" applyBorder="1"/>
    <xf numFmtId="171" fontId="3" fillId="0" borderId="0" xfId="21" applyNumberFormat="1" applyBorder="1"/>
    <xf numFmtId="0" fontId="18" fillId="0" borderId="0" xfId="21" applyFont="1" applyBorder="1"/>
    <xf numFmtId="166" fontId="3" fillId="0" borderId="1" xfId="21" applyNumberFormat="1" applyBorder="1"/>
    <xf numFmtId="166" fontId="3" fillId="0" borderId="0" xfId="21" applyNumberFormat="1" applyBorder="1"/>
    <xf numFmtId="0" fontId="3" fillId="0" borderId="25" xfId="21" applyBorder="1" applyAlignment="1">
      <alignment horizontal="center"/>
    </xf>
    <xf numFmtId="166" fontId="3" fillId="0" borderId="26" xfId="22" applyNumberFormat="1" applyBorder="1"/>
    <xf numFmtId="166" fontId="3" fillId="0" borderId="28" xfId="22" applyNumberFormat="1" applyBorder="1"/>
    <xf numFmtId="0" fontId="3" fillId="0" borderId="27" xfId="21" applyBorder="1" applyAlignment="1">
      <alignment horizontal="center"/>
    </xf>
    <xf numFmtId="0" fontId="20" fillId="0" borderId="27" xfId="21" applyFont="1" applyBorder="1" applyAlignment="1">
      <alignment horizontal="center"/>
    </xf>
    <xf numFmtId="166" fontId="21" fillId="0" borderId="28" xfId="22" applyNumberFormat="1" applyFont="1" applyBorder="1"/>
    <xf numFmtId="166" fontId="21" fillId="0" borderId="28" xfId="22" applyNumberFormat="1" applyFont="1" applyFill="1" applyBorder="1"/>
    <xf numFmtId="0" fontId="3" fillId="0" borderId="0" xfId="21" applyBorder="1"/>
    <xf numFmtId="0" fontId="3" fillId="0" borderId="3" xfId="21" applyBorder="1"/>
    <xf numFmtId="0" fontId="3" fillId="0" borderId="13" xfId="21" applyBorder="1"/>
    <xf numFmtId="0" fontId="18" fillId="0" borderId="4" xfId="21" applyFont="1" applyBorder="1"/>
    <xf numFmtId="0" fontId="3" fillId="0" borderId="13" xfId="21" applyBorder="1" applyAlignment="1">
      <alignment wrapText="1"/>
    </xf>
    <xf numFmtId="0" fontId="19" fillId="0" borderId="4" xfId="21" applyFont="1" applyBorder="1" applyAlignment="1">
      <alignment horizontal="center"/>
    </xf>
    <xf numFmtId="0" fontId="3" fillId="0" borderId="4" xfId="21" applyBorder="1"/>
    <xf numFmtId="0" fontId="11" fillId="0" borderId="29" xfId="21" applyFont="1" applyBorder="1" applyAlignment="1">
      <alignment horizontal="center"/>
    </xf>
    <xf numFmtId="0" fontId="3" fillId="0" borderId="30" xfId="21" applyBorder="1" applyAlignment="1">
      <alignment horizontal="center"/>
    </xf>
    <xf numFmtId="166" fontId="3" fillId="0" borderId="29" xfId="22" applyNumberFormat="1" applyBorder="1"/>
    <xf numFmtId="0" fontId="20" fillId="0" borderId="3" xfId="21" applyFont="1" applyBorder="1" applyAlignment="1">
      <alignment horizontal="center"/>
    </xf>
    <xf numFmtId="166" fontId="21" fillId="0" borderId="31" xfId="21" applyNumberFormat="1" applyFont="1" applyFill="1" applyBorder="1"/>
    <xf numFmtId="0" fontId="3" fillId="0" borderId="6" xfId="21" applyFont="1" applyFill="1" applyBorder="1" applyAlignment="1">
      <alignment horizontal="center"/>
    </xf>
    <xf numFmtId="9" fontId="3" fillId="0" borderId="5" xfId="21" applyNumberFormat="1" applyBorder="1"/>
    <xf numFmtId="0" fontId="3" fillId="0" borderId="7" xfId="21" applyBorder="1"/>
    <xf numFmtId="0" fontId="22" fillId="0" borderId="0" xfId="21" applyFont="1" applyBorder="1"/>
    <xf numFmtId="166" fontId="22" fillId="0" borderId="4" xfId="22" applyNumberFormat="1" applyFont="1" applyBorder="1"/>
    <xf numFmtId="9" fontId="0" fillId="0" borderId="32" xfId="23" applyNumberFormat="1" applyFont="1" applyBorder="1"/>
    <xf numFmtId="3" fontId="3" fillId="3" borderId="1" xfId="13" applyNumberFormat="1" applyFont="1" applyFill="1" applyBorder="1" applyAlignment="1">
      <alignment horizontal="center" wrapText="1"/>
    </xf>
    <xf numFmtId="166" fontId="3" fillId="3" borderId="1" xfId="3" applyNumberFormat="1" applyFont="1" applyFill="1" applyBorder="1" applyAlignment="1">
      <alignment horizontal="center" wrapText="1"/>
    </xf>
    <xf numFmtId="3" fontId="16" fillId="0" borderId="1" xfId="13" applyNumberFormat="1" applyFont="1" applyBorder="1" applyAlignment="1">
      <alignment horizontal="center" wrapText="1"/>
    </xf>
    <xf numFmtId="3" fontId="3" fillId="5" borderId="1" xfId="13" applyNumberFormat="1" applyFont="1" applyFill="1" applyBorder="1" applyAlignment="1">
      <alignment horizontal="center" wrapText="1"/>
    </xf>
    <xf numFmtId="171" fontId="3" fillId="0" borderId="12" xfId="19" applyNumberFormat="1" applyFont="1" applyBorder="1"/>
    <xf numFmtId="171" fontId="3" fillId="0" borderId="20" xfId="4" applyNumberFormat="1" applyFont="1" applyBorder="1"/>
    <xf numFmtId="171" fontId="3" fillId="0" borderId="17" xfId="4" applyNumberFormat="1" applyFont="1" applyBorder="1"/>
    <xf numFmtId="171" fontId="3" fillId="5" borderId="21" xfId="4" applyNumberFormat="1" applyFont="1" applyFill="1" applyBorder="1"/>
    <xf numFmtId="171" fontId="3" fillId="0" borderId="1" xfId="13" applyNumberFormat="1" applyFont="1" applyBorder="1"/>
    <xf numFmtId="171" fontId="11" fillId="0" borderId="18" xfId="13" applyNumberFormat="1" applyFont="1" applyBorder="1"/>
    <xf numFmtId="171" fontId="11" fillId="5" borderId="18" xfId="13" applyNumberFormat="1" applyFont="1" applyFill="1" applyBorder="1"/>
    <xf numFmtId="0" fontId="9" fillId="0" borderId="0" xfId="0" applyFont="1" applyFill="1" applyAlignment="1">
      <alignment horizontal="center" wrapText="1"/>
    </xf>
    <xf numFmtId="3" fontId="3" fillId="0" borderId="20" xfId="4" applyNumberFormat="1" applyFont="1" applyBorder="1"/>
    <xf numFmtId="0" fontId="15" fillId="4" borderId="0" xfId="0" applyFont="1" applyFill="1" applyAlignment="1">
      <alignment horizontal="center"/>
    </xf>
    <xf numFmtId="0" fontId="17" fillId="0" borderId="8" xfId="2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22" xfId="21" applyFont="1" applyBorder="1" applyAlignment="1">
      <alignment horizontal="center"/>
    </xf>
    <xf numFmtId="0" fontId="19" fillId="0" borderId="23" xfId="21" applyFont="1" applyBorder="1" applyAlignment="1">
      <alignment horizontal="center"/>
    </xf>
    <xf numFmtId="0" fontId="19" fillId="0" borderId="24" xfId="21" applyFont="1" applyBorder="1" applyAlignment="1">
      <alignment horizontal="center"/>
    </xf>
    <xf numFmtId="171" fontId="3" fillId="0" borderId="0" xfId="22" applyNumberFormat="1" applyBorder="1" applyAlignment="1">
      <alignment horizontal="center"/>
    </xf>
    <xf numFmtId="0" fontId="11" fillId="0" borderId="22" xfId="21" applyFont="1" applyBorder="1" applyAlignment="1">
      <alignment horizontal="center"/>
    </xf>
    <xf numFmtId="0" fontId="11" fillId="0" borderId="24" xfId="21" applyFont="1" applyBorder="1" applyAlignment="1">
      <alignment horizontal="center"/>
    </xf>
    <xf numFmtId="0" fontId="11" fillId="0" borderId="12" xfId="21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3" borderId="8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</cellXfs>
  <cellStyles count="24">
    <cellStyle name="Blue" xfId="1"/>
    <cellStyle name="Border:  All" xfId="2"/>
    <cellStyle name="Currency" xfId="3" builtinId="4"/>
    <cellStyle name="Currency 2" xfId="22"/>
    <cellStyle name="Currency 8" xfId="4"/>
    <cellStyle name="Double Outlines" xfId="5"/>
    <cellStyle name="Green" xfId="6"/>
    <cellStyle name="Lines around all cells" xfId="7"/>
    <cellStyle name="Normal" xfId="0" builtinId="0"/>
    <cellStyle name="Normal 2 2" xfId="8"/>
    <cellStyle name="Normal 2 3" xfId="9"/>
    <cellStyle name="Normal 2 4" xfId="10"/>
    <cellStyle name="Normal 2 5" xfId="11"/>
    <cellStyle name="Normal 3" xfId="12"/>
    <cellStyle name="Normal 5" xfId="21"/>
    <cellStyle name="Normal 6" xfId="13"/>
    <cellStyle name="Percent" xfId="14" builtinId="5"/>
    <cellStyle name="Percent 2" xfId="23"/>
    <cellStyle name="Percent 2 2" xfId="15"/>
    <cellStyle name="Percent 2 3" xfId="16"/>
    <cellStyle name="Percent 2 4" xfId="17"/>
    <cellStyle name="Percent 2 5" xfId="18"/>
    <cellStyle name="Percent 7" xfId="19"/>
    <cellStyle name="Shaded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2319273</xdr:colOff>
      <xdr:row>23</xdr:row>
      <xdr:rowOff>57149</xdr:rowOff>
    </xdr:from>
    <xdr:ext cx="4167252" cy="1743075"/>
    <xdr:sp macro="" textlink="">
      <xdr:nvSpPr>
        <xdr:cNvPr id="2" name="Rectangle 1"/>
        <xdr:cNvSpPr/>
      </xdr:nvSpPr>
      <xdr:spPr>
        <a:xfrm>
          <a:off x="7224648" y="5000624"/>
          <a:ext cx="4167252" cy="174307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>
              <a:rot lat="0" lon="0" rev="2400000"/>
            </a:camera>
            <a:lightRig rig="threePt" dir="t"/>
          </a:scene3d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>
                  <a:alpha val="0"/>
                </a:srgb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DRAFT</a:t>
          </a:r>
        </a:p>
        <a:p>
          <a:pPr algn="ctr"/>
          <a:r>
            <a:rPr lang="en-US" sz="32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>
                  <a:alpha val="0"/>
                </a:srgb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CONFIDENTIAL</a:t>
          </a:r>
          <a:endParaRPr lang="en-US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>
                <a:alpha val="0"/>
              </a:srgbClr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1"/>
  <sheetViews>
    <sheetView tabSelected="1" workbookViewId="0">
      <selection activeCell="I3" sqref="I3:M3"/>
    </sheetView>
  </sheetViews>
  <sheetFormatPr baseColWidth="10" defaultColWidth="8.83203125" defaultRowHeight="14" x14ac:dyDescent="0"/>
  <cols>
    <col min="1" max="1" width="15.5" style="1" customWidth="1"/>
    <col min="2" max="2" width="11" style="1" bestFit="1" customWidth="1"/>
    <col min="3" max="3" width="8.33203125" style="1" bestFit="1" customWidth="1"/>
    <col min="4" max="4" width="14.5" style="1" customWidth="1"/>
    <col min="5" max="5" width="12.5" style="1" customWidth="1"/>
    <col min="6" max="6" width="11.33203125" style="1" customWidth="1"/>
    <col min="7" max="7" width="11.33203125" style="62" hidden="1" customWidth="1"/>
    <col min="8" max="8" width="1.5" style="1" customWidth="1"/>
    <col min="9" max="9" width="53.5" style="1" bestFit="1" customWidth="1"/>
    <col min="10" max="10" width="11.33203125" style="1" bestFit="1" customWidth="1"/>
    <col min="11" max="11" width="8.83203125" style="1"/>
    <col min="12" max="12" width="12.1640625" style="1" bestFit="1" customWidth="1"/>
    <col min="13" max="13" width="14.33203125" style="1" bestFit="1" customWidth="1"/>
    <col min="14" max="16384" width="8.83203125" style="1"/>
  </cols>
  <sheetData>
    <row r="1" spans="1:13" ht="23">
      <c r="A1" s="113" t="s">
        <v>70</v>
      </c>
      <c r="B1" s="113"/>
      <c r="C1" s="113"/>
      <c r="D1" s="113"/>
      <c r="E1" s="113"/>
      <c r="F1" s="113"/>
    </row>
    <row r="2" spans="1:13" ht="30.75" customHeight="1" thickBot="1">
      <c r="A2" s="124" t="s">
        <v>77</v>
      </c>
      <c r="B2" s="125"/>
      <c r="C2" s="125"/>
      <c r="D2" s="125"/>
      <c r="E2" s="125"/>
      <c r="F2" s="125"/>
      <c r="G2" s="126"/>
    </row>
    <row r="3" spans="1:13" ht="18">
      <c r="A3" s="29">
        <v>900000</v>
      </c>
      <c r="B3" s="41">
        <f>D43</f>
        <v>180000</v>
      </c>
      <c r="C3" s="30">
        <f>+A3-B3</f>
        <v>720000</v>
      </c>
      <c r="D3" s="127" t="s">
        <v>46</v>
      </c>
      <c r="E3" s="128"/>
      <c r="F3" s="129"/>
      <c r="G3" s="57"/>
      <c r="I3" s="114" t="s">
        <v>56</v>
      </c>
      <c r="J3" s="115"/>
      <c r="K3" s="115"/>
      <c r="L3" s="115"/>
      <c r="M3" s="116"/>
    </row>
    <row r="4" spans="1:13" s="2" customFormat="1" ht="15">
      <c r="A4" s="31">
        <v>0.93800399999999995</v>
      </c>
      <c r="B4" s="32" t="s">
        <v>0</v>
      </c>
      <c r="C4" s="32" t="s">
        <v>1</v>
      </c>
      <c r="D4" s="23"/>
      <c r="E4" s="24" t="s">
        <v>2</v>
      </c>
      <c r="F4" s="25"/>
      <c r="G4" s="58"/>
      <c r="I4" s="83"/>
      <c r="J4" s="82"/>
      <c r="K4" s="82"/>
      <c r="L4" s="97" t="s">
        <v>57</v>
      </c>
      <c r="M4" s="98">
        <v>1855117</v>
      </c>
    </row>
    <row r="5" spans="1:13" s="3" customFormat="1" ht="57" thickBot="1">
      <c r="A5" s="33"/>
      <c r="B5" s="69" t="str">
        <f>'PSU data'!B2</f>
        <v>Certified Population Estimate July 1, 2014</v>
      </c>
      <c r="C5" s="4"/>
      <c r="D5" s="44" t="s">
        <v>3</v>
      </c>
      <c r="E5" s="45"/>
      <c r="F5" s="46" t="s">
        <v>47</v>
      </c>
      <c r="G5" s="59"/>
      <c r="I5" s="84" t="s">
        <v>57</v>
      </c>
      <c r="J5" s="70">
        <f>M4</f>
        <v>1855117</v>
      </c>
      <c r="K5" s="71"/>
      <c r="L5" s="72"/>
      <c r="M5" s="85"/>
    </row>
    <row r="6" spans="1:13" ht="51" customHeight="1">
      <c r="A6" s="34" t="s">
        <v>4</v>
      </c>
      <c r="B6" s="26">
        <f>'PSU data'!B5</f>
        <v>16325</v>
      </c>
      <c r="C6" s="37">
        <f>B6/$B$43</f>
        <v>4.1196554882895796E-3</v>
      </c>
      <c r="D6" s="42">
        <f>B54</f>
        <v>5000</v>
      </c>
      <c r="E6" s="28">
        <f>+$C$3*C6</f>
        <v>2966.1519515684972</v>
      </c>
      <c r="F6" s="43">
        <f>+D6+E6</f>
        <v>7966.1519515684977</v>
      </c>
      <c r="G6" s="60">
        <v>72380.715541735524</v>
      </c>
      <c r="I6" s="86" t="s">
        <v>67</v>
      </c>
      <c r="J6" s="73">
        <f>SUM(J5-J7)</f>
        <v>275621.89570029802</v>
      </c>
      <c r="K6" s="74"/>
      <c r="L6" s="72"/>
      <c r="M6" s="85"/>
    </row>
    <row r="7" spans="1:13" ht="25.5" customHeight="1">
      <c r="A7" s="34" t="s">
        <v>5</v>
      </c>
      <c r="B7" s="26">
        <f>'PSU data'!B6</f>
        <v>88740</v>
      </c>
      <c r="C7" s="37">
        <f t="shared" ref="C7:C42" si="0">B7/$B$43</f>
        <v>2.2393765882439038E-2</v>
      </c>
      <c r="D7" s="38">
        <f>B54</f>
        <v>5000</v>
      </c>
      <c r="E7" s="27">
        <f>+$C$3*C7-1</f>
        <v>16122.511435356108</v>
      </c>
      <c r="F7" s="40">
        <f t="shared" ref="F7:F43" si="1">+D7+E7</f>
        <v>21122.511435356108</v>
      </c>
      <c r="G7" s="60">
        <v>90543.280387466963</v>
      </c>
      <c r="I7" s="86" t="s">
        <v>68</v>
      </c>
      <c r="J7" s="73">
        <f>M4/1.1745</f>
        <v>1579495.104299702</v>
      </c>
      <c r="K7" s="74"/>
      <c r="L7" s="72"/>
      <c r="M7" s="85"/>
    </row>
    <row r="8" spans="1:13" ht="15">
      <c r="A8" s="34" t="s">
        <v>6</v>
      </c>
      <c r="B8" s="26">
        <f>'PSU data'!B7</f>
        <v>391525</v>
      </c>
      <c r="C8" s="37">
        <f t="shared" si="0"/>
        <v>9.8802334765854677E-2</v>
      </c>
      <c r="D8" s="38">
        <f>B54</f>
        <v>5000</v>
      </c>
      <c r="E8" s="27">
        <f t="shared" ref="E8:E42" si="2">+$C$3*C8</f>
        <v>71137.68103141537</v>
      </c>
      <c r="F8" s="40">
        <f t="shared" si="1"/>
        <v>76137.68103141537</v>
      </c>
      <c r="G8" s="60">
        <v>166434.87883141983</v>
      </c>
      <c r="I8" s="83"/>
      <c r="J8" s="82"/>
      <c r="K8" s="82"/>
      <c r="L8" s="72"/>
      <c r="M8" s="85"/>
    </row>
    <row r="9" spans="1:13" ht="15">
      <c r="A9" s="34" t="s">
        <v>7</v>
      </c>
      <c r="B9" s="26">
        <f>'PSU data'!B8</f>
        <v>37495</v>
      </c>
      <c r="C9" s="37">
        <f t="shared" si="0"/>
        <v>9.461959113838762E-3</v>
      </c>
      <c r="D9" s="38">
        <f>B54</f>
        <v>5000</v>
      </c>
      <c r="E9" s="27">
        <f t="shared" si="2"/>
        <v>6812.6105619639084</v>
      </c>
      <c r="F9" s="40">
        <f t="shared" si="1"/>
        <v>11812.610561963909</v>
      </c>
      <c r="G9" s="60">
        <v>77779.944878801703</v>
      </c>
      <c r="I9" s="117" t="s">
        <v>68</v>
      </c>
      <c r="J9" s="118"/>
      <c r="K9" s="118"/>
      <c r="L9" s="119"/>
      <c r="M9" s="87"/>
    </row>
    <row r="10" spans="1:13">
      <c r="A10" s="34" t="s">
        <v>8</v>
      </c>
      <c r="B10" s="26">
        <f>'PSU data'!B9</f>
        <v>50075</v>
      </c>
      <c r="C10" s="37">
        <f t="shared" si="0"/>
        <v>1.263655427724966E-2</v>
      </c>
      <c r="D10" s="38">
        <f>B54</f>
        <v>5000</v>
      </c>
      <c r="E10" s="27">
        <f t="shared" si="2"/>
        <v>9098.3190796197559</v>
      </c>
      <c r="F10" s="40">
        <f t="shared" si="1"/>
        <v>14098.319079619756</v>
      </c>
      <c r="G10" s="60">
        <v>80994.262058017935</v>
      </c>
      <c r="I10" s="83"/>
      <c r="J10" s="120">
        <f>J7</f>
        <v>1579495.104299702</v>
      </c>
      <c r="K10" s="120"/>
      <c r="L10" s="82"/>
      <c r="M10" s="88"/>
    </row>
    <row r="11" spans="1:13">
      <c r="A11" s="34" t="s">
        <v>9</v>
      </c>
      <c r="B11" s="26">
        <f>'PSU data'!B10</f>
        <v>62900</v>
      </c>
      <c r="C11" s="37">
        <f t="shared" si="0"/>
        <v>1.5872975817054491E-2</v>
      </c>
      <c r="D11" s="38">
        <f>B54</f>
        <v>5000</v>
      </c>
      <c r="E11" s="27">
        <f>+$C$3*C11-1</f>
        <v>11427.542588279233</v>
      </c>
      <c r="F11" s="40">
        <f t="shared" si="1"/>
        <v>16427.542588279233</v>
      </c>
      <c r="G11" s="60">
        <v>84393.872141080108</v>
      </c>
      <c r="I11" s="121" t="s">
        <v>59</v>
      </c>
      <c r="J11" s="122"/>
      <c r="K11" s="123" t="s">
        <v>60</v>
      </c>
      <c r="L11" s="122"/>
      <c r="M11" s="89" t="s">
        <v>61</v>
      </c>
    </row>
    <row r="12" spans="1:13">
      <c r="A12" s="34" t="s">
        <v>10</v>
      </c>
      <c r="B12" s="26">
        <f>'PSU data'!B11</f>
        <v>20780</v>
      </c>
      <c r="C12" s="37">
        <f t="shared" si="0"/>
        <v>5.2438861284323105E-3</v>
      </c>
      <c r="D12" s="38">
        <f>B54</f>
        <v>5000</v>
      </c>
      <c r="E12" s="27">
        <f t="shared" si="2"/>
        <v>3775.5980124712637</v>
      </c>
      <c r="F12" s="40">
        <f t="shared" si="1"/>
        <v>8775.5980124712642</v>
      </c>
      <c r="G12" s="60">
        <v>73523.355115452112</v>
      </c>
      <c r="I12" s="90" t="s">
        <v>58</v>
      </c>
      <c r="J12" s="76">
        <f>J10-L12</f>
        <v>679495.10429970198</v>
      </c>
      <c r="K12" s="75" t="s">
        <v>58</v>
      </c>
      <c r="L12" s="76">
        <v>900000</v>
      </c>
      <c r="M12" s="91">
        <f>+J12+L12</f>
        <v>1579495.104299702</v>
      </c>
    </row>
    <row r="13" spans="1:13" ht="38.25" customHeight="1">
      <c r="A13" s="34" t="s">
        <v>11</v>
      </c>
      <c r="B13" s="26">
        <f>'PSU data'!B12</f>
        <v>22355</v>
      </c>
      <c r="C13" s="37">
        <f t="shared" si="0"/>
        <v>5.6413414052504472E-3</v>
      </c>
      <c r="D13" s="38">
        <f>B54</f>
        <v>5000</v>
      </c>
      <c r="E13" s="27">
        <f t="shared" si="2"/>
        <v>4061.7658117803221</v>
      </c>
      <c r="F13" s="40">
        <f t="shared" si="1"/>
        <v>9061.7658117803221</v>
      </c>
      <c r="G13" s="60">
        <v>73946.697930488997</v>
      </c>
      <c r="I13" s="92" t="s">
        <v>69</v>
      </c>
      <c r="J13" s="80">
        <v>-36486</v>
      </c>
      <c r="K13" s="78"/>
      <c r="L13" s="77"/>
      <c r="M13" s="93">
        <f>J13</f>
        <v>-36486</v>
      </c>
    </row>
    <row r="14" spans="1:13">
      <c r="A14" s="34" t="s">
        <v>12</v>
      </c>
      <c r="B14" s="26">
        <f>'PSU data'!B13</f>
        <v>166400</v>
      </c>
      <c r="C14" s="37">
        <f t="shared" si="0"/>
        <v>4.1991465436532073E-2</v>
      </c>
      <c r="D14" s="38">
        <f>B54</f>
        <v>5000</v>
      </c>
      <c r="E14" s="27">
        <f t="shared" si="2"/>
        <v>30233.855114303093</v>
      </c>
      <c r="F14" s="40">
        <f t="shared" si="1"/>
        <v>35233.855114303093</v>
      </c>
      <c r="G14" s="60">
        <v>109421.28172304798</v>
      </c>
      <c r="I14" s="92" t="s">
        <v>62</v>
      </c>
      <c r="J14" s="80">
        <v>-534554</v>
      </c>
      <c r="K14" s="79"/>
      <c r="L14" s="81"/>
      <c r="M14" s="93">
        <f>J14</f>
        <v>-534554</v>
      </c>
    </row>
    <row r="15" spans="1:13">
      <c r="A15" s="34" t="s">
        <v>13</v>
      </c>
      <c r="B15" s="26">
        <f>'PSU data'!B14</f>
        <v>109385</v>
      </c>
      <c r="C15" s="37">
        <f t="shared" si="0"/>
        <v>2.7603584415715508E-2</v>
      </c>
      <c r="D15" s="38">
        <f>B54</f>
        <v>5000</v>
      </c>
      <c r="E15" s="27">
        <f t="shared" si="2"/>
        <v>19874.580779315165</v>
      </c>
      <c r="F15" s="40">
        <f t="shared" si="1"/>
        <v>24874.580779315165</v>
      </c>
      <c r="G15" s="60">
        <v>96053.170764330018</v>
      </c>
      <c r="I15" s="92" t="s">
        <v>63</v>
      </c>
      <c r="J15" s="80">
        <v>-18000</v>
      </c>
      <c r="K15" s="79"/>
      <c r="L15" s="81"/>
      <c r="M15" s="93">
        <f t="shared" ref="M15:M17" si="3">J15</f>
        <v>-18000</v>
      </c>
    </row>
    <row r="16" spans="1:13">
      <c r="A16" s="34" t="s">
        <v>14</v>
      </c>
      <c r="B16" s="26">
        <v>0</v>
      </c>
      <c r="C16" s="37">
        <f t="shared" si="0"/>
        <v>0</v>
      </c>
      <c r="D16" s="38"/>
      <c r="E16" s="27">
        <f t="shared" si="2"/>
        <v>0</v>
      </c>
      <c r="F16" s="40">
        <f t="shared" si="1"/>
        <v>0</v>
      </c>
      <c r="G16" s="60">
        <v>0</v>
      </c>
      <c r="I16" s="92" t="s">
        <v>64</v>
      </c>
      <c r="J16" s="80">
        <v>-60000</v>
      </c>
      <c r="K16" s="79"/>
      <c r="L16" s="81"/>
      <c r="M16" s="93">
        <f t="shared" si="3"/>
        <v>-60000</v>
      </c>
    </row>
    <row r="17" spans="1:13">
      <c r="A17" s="34" t="s">
        <v>15</v>
      </c>
      <c r="B17" s="26">
        <f>'PSU data'!B16</f>
        <v>7425</v>
      </c>
      <c r="C17" s="37">
        <f t="shared" si="0"/>
        <v>1.8737177335712177E-3</v>
      </c>
      <c r="D17" s="38">
        <f>B54</f>
        <v>5000</v>
      </c>
      <c r="E17" s="27">
        <f t="shared" si="2"/>
        <v>1349.0767681712766</v>
      </c>
      <c r="F17" s="40">
        <f t="shared" si="1"/>
        <v>6349.0767681712769</v>
      </c>
      <c r="G17" s="60">
        <v>39811.184459321739</v>
      </c>
      <c r="I17" s="92" t="s">
        <v>65</v>
      </c>
      <c r="J17" s="80">
        <f>-30808+353</f>
        <v>-30455</v>
      </c>
      <c r="K17" s="79"/>
      <c r="L17" s="81"/>
      <c r="M17" s="93">
        <f t="shared" si="3"/>
        <v>-30455</v>
      </c>
    </row>
    <row r="18" spans="1:13" ht="15" thickBot="1">
      <c r="A18" s="34" t="s">
        <v>16</v>
      </c>
      <c r="B18" s="26">
        <f>'PSU data'!B17</f>
        <v>7265</v>
      </c>
      <c r="C18" s="37">
        <f t="shared" si="0"/>
        <v>1.8333413244976291E-3</v>
      </c>
      <c r="D18" s="38">
        <f>B54</f>
        <v>5000</v>
      </c>
      <c r="E18" s="27">
        <f t="shared" si="2"/>
        <v>1320.0057536382931</v>
      </c>
      <c r="F18" s="40">
        <f t="shared" si="1"/>
        <v>6320.0057536382928</v>
      </c>
      <c r="G18" s="60">
        <v>39776.442039850626</v>
      </c>
      <c r="I18" s="94" t="s">
        <v>66</v>
      </c>
      <c r="J18" s="99">
        <f>J12/J7</f>
        <v>0.43019766408264276</v>
      </c>
      <c r="K18" s="95"/>
      <c r="L18" s="99">
        <f>L12/J7</f>
        <v>0.56980233591735729</v>
      </c>
      <c r="M18" s="96"/>
    </row>
    <row r="19" spans="1:13">
      <c r="A19" s="34" t="s">
        <v>17</v>
      </c>
      <c r="B19" s="26">
        <f>'PSU data'!B18</f>
        <v>23730</v>
      </c>
      <c r="C19" s="37">
        <f t="shared" si="0"/>
        <v>5.9883261707265991E-3</v>
      </c>
      <c r="D19" s="38">
        <f>B54</f>
        <v>5000</v>
      </c>
      <c r="E19" s="27">
        <f t="shared" si="2"/>
        <v>4311.5948429231512</v>
      </c>
      <c r="F19" s="40">
        <f t="shared" si="1"/>
        <v>9311.5948429231503</v>
      </c>
      <c r="G19" s="60">
        <v>74095.961658587097</v>
      </c>
    </row>
    <row r="20" spans="1:13">
      <c r="A20" s="34" t="s">
        <v>18</v>
      </c>
      <c r="B20" s="26">
        <f>'PSU data'!B19</f>
        <v>208375</v>
      </c>
      <c r="C20" s="37">
        <f t="shared" si="0"/>
        <v>5.2583964004431313E-2</v>
      </c>
      <c r="D20" s="38">
        <f>B54</f>
        <v>5000</v>
      </c>
      <c r="E20" s="27">
        <f t="shared" si="2"/>
        <v>37860.454083190547</v>
      </c>
      <c r="F20" s="40">
        <f t="shared" si="1"/>
        <v>42860.454083190547</v>
      </c>
      <c r="G20" s="60">
        <v>120870.83907319451</v>
      </c>
    </row>
    <row r="21" spans="1:13">
      <c r="A21" s="34" t="s">
        <v>19</v>
      </c>
      <c r="B21" s="26">
        <f>'PSU data'!B20</f>
        <v>22205</v>
      </c>
      <c r="C21" s="37">
        <f t="shared" si="0"/>
        <v>5.6034885217439582E-3</v>
      </c>
      <c r="D21" s="38">
        <f>B54</f>
        <v>5000</v>
      </c>
      <c r="E21" s="27">
        <f>+$C$3*C21-1</f>
        <v>4033.5117356556498</v>
      </c>
      <c r="F21" s="40">
        <f t="shared" si="1"/>
        <v>9033.5117356556493</v>
      </c>
      <c r="G21" s="60">
        <v>73855.33823484274</v>
      </c>
    </row>
    <row r="22" spans="1:13">
      <c r="A22" s="34" t="s">
        <v>20</v>
      </c>
      <c r="B22" s="26">
        <f>'PSU data'!B21</f>
        <v>83105</v>
      </c>
      <c r="C22" s="37">
        <f t="shared" si="0"/>
        <v>2.097175922537859E-2</v>
      </c>
      <c r="D22" s="38">
        <f>B54</f>
        <v>5000</v>
      </c>
      <c r="E22" s="27">
        <f t="shared" si="2"/>
        <v>15099.666642272585</v>
      </c>
      <c r="F22" s="40">
        <f t="shared" si="1"/>
        <v>20099.666642272583</v>
      </c>
      <c r="G22" s="60">
        <v>89511.301853547266</v>
      </c>
    </row>
    <row r="23" spans="1:13">
      <c r="A23" s="34" t="s">
        <v>21</v>
      </c>
      <c r="B23" s="26">
        <f>'PSU data'!B22</f>
        <v>66910</v>
      </c>
      <c r="C23" s="37">
        <f t="shared" si="0"/>
        <v>1.6884909569461305E-2</v>
      </c>
      <c r="D23" s="38">
        <f>B54</f>
        <v>5000</v>
      </c>
      <c r="E23" s="27">
        <f t="shared" si="2"/>
        <v>12157.134890012139</v>
      </c>
      <c r="F23" s="40">
        <f t="shared" si="1"/>
        <v>17157.134890012137</v>
      </c>
      <c r="G23" s="60">
        <v>85384.674474145155</v>
      </c>
    </row>
    <row r="24" spans="1:13">
      <c r="A24" s="34" t="s">
        <v>22</v>
      </c>
      <c r="B24" s="26">
        <f>'PSU data'!B23</f>
        <v>7990</v>
      </c>
      <c r="C24" s="37">
        <f t="shared" si="0"/>
        <v>2.0162969281123273E-3</v>
      </c>
      <c r="D24" s="38">
        <f>B54</f>
        <v>5000</v>
      </c>
      <c r="E24" s="27">
        <f t="shared" si="2"/>
        <v>1451.7337882408756</v>
      </c>
      <c r="F24" s="40">
        <f t="shared" si="1"/>
        <v>6451.7337882408756</v>
      </c>
      <c r="G24" s="60">
        <v>39932.139549332278</v>
      </c>
    </row>
    <row r="25" spans="1:13">
      <c r="A25" s="34" t="s">
        <v>23</v>
      </c>
      <c r="B25" s="26">
        <f>'PSU data'!B24</f>
        <v>358805</v>
      </c>
      <c r="C25" s="37">
        <f t="shared" si="0"/>
        <v>9.0545359110305826E-2</v>
      </c>
      <c r="D25" s="38">
        <f>B54</f>
        <v>5000</v>
      </c>
      <c r="E25" s="27">
        <f t="shared" si="2"/>
        <v>65192.658559420197</v>
      </c>
      <c r="F25" s="40">
        <f t="shared" si="1"/>
        <v>70192.658559420204</v>
      </c>
      <c r="G25" s="60">
        <v>159362.86633463344</v>
      </c>
    </row>
    <row r="26" spans="1:13">
      <c r="A26" s="34" t="s">
        <v>24</v>
      </c>
      <c r="B26" s="26">
        <f>'PSU data'!B25</f>
        <v>46890</v>
      </c>
      <c r="C26" s="37">
        <f t="shared" si="0"/>
        <v>1.1832811384128538E-2</v>
      </c>
      <c r="D26" s="38">
        <f>B54</f>
        <v>5000</v>
      </c>
      <c r="E26" s="27">
        <f t="shared" si="2"/>
        <v>8519.6241965725476</v>
      </c>
      <c r="F26" s="40">
        <f t="shared" si="1"/>
        <v>13519.624196572548</v>
      </c>
      <c r="G26" s="60">
        <v>80123.128058686721</v>
      </c>
    </row>
    <row r="27" spans="1:13">
      <c r="A27" s="34" t="s">
        <v>25</v>
      </c>
      <c r="B27" s="26">
        <f>'PSU data'!B26</f>
        <v>119705</v>
      </c>
      <c r="C27" s="37">
        <f t="shared" si="0"/>
        <v>3.0207862800961969E-2</v>
      </c>
      <c r="D27" s="38">
        <f>B54</f>
        <v>5000</v>
      </c>
      <c r="E27" s="27">
        <f t="shared" si="2"/>
        <v>21749.661216692617</v>
      </c>
      <c r="F27" s="40">
        <f t="shared" si="1"/>
        <v>26749.661216692617</v>
      </c>
      <c r="G27" s="60">
        <v>98585.507116891094</v>
      </c>
    </row>
    <row r="28" spans="1:13">
      <c r="A28" s="34" t="s">
        <v>26</v>
      </c>
      <c r="B28" s="26">
        <f>'PSU data'!B27</f>
        <v>31470</v>
      </c>
      <c r="C28" s="37">
        <f t="shared" si="0"/>
        <v>7.9415349596614442E-3</v>
      </c>
      <c r="D28" s="38">
        <f>B54</f>
        <v>5000</v>
      </c>
      <c r="E28" s="27">
        <f t="shared" si="2"/>
        <v>5717.90517095624</v>
      </c>
      <c r="F28" s="40">
        <f t="shared" si="1"/>
        <v>10717.905170956241</v>
      </c>
      <c r="G28" s="60">
        <v>76288.594354097295</v>
      </c>
    </row>
    <row r="29" spans="1:13">
      <c r="A29" s="34" t="s">
        <v>27</v>
      </c>
      <c r="B29" s="26">
        <f>'PSU data'!B28</f>
        <v>326150</v>
      </c>
      <c r="C29" s="37">
        <f t="shared" si="0"/>
        <v>8.2304786370943114E-2</v>
      </c>
      <c r="D29" s="38">
        <f>B54</f>
        <v>5000</v>
      </c>
      <c r="E29" s="27">
        <f t="shared" si="2"/>
        <v>59259.44618707904</v>
      </c>
      <c r="F29" s="40">
        <f t="shared" si="1"/>
        <v>64259.44618707904</v>
      </c>
      <c r="G29" s="60">
        <v>150688.84227334574</v>
      </c>
    </row>
    <row r="30" spans="1:13">
      <c r="A30" s="34" t="s">
        <v>28</v>
      </c>
      <c r="B30" s="26">
        <f>'PSU data'!B29</f>
        <v>11525</v>
      </c>
      <c r="C30" s="37">
        <f t="shared" si="0"/>
        <v>2.9083632160819238E-3</v>
      </c>
      <c r="D30" s="38">
        <f>B54</f>
        <v>5000</v>
      </c>
      <c r="E30" s="27">
        <f t="shared" si="2"/>
        <v>2094.0215155789851</v>
      </c>
      <c r="F30" s="40">
        <f t="shared" si="1"/>
        <v>7094.0215155789847</v>
      </c>
      <c r="G30" s="60">
        <v>71117.120878008413</v>
      </c>
    </row>
    <row r="31" spans="1:13">
      <c r="A31" s="34" t="s">
        <v>29</v>
      </c>
      <c r="B31" s="26">
        <f>'PSU data'!B30</f>
        <v>765775</v>
      </c>
      <c r="C31" s="37">
        <f t="shared" si="0"/>
        <v>0.19324527911454534</v>
      </c>
      <c r="D31" s="38">
        <f>B54</f>
        <v>5000</v>
      </c>
      <c r="E31" s="27">
        <f t="shared" si="2"/>
        <v>139136.60096247264</v>
      </c>
      <c r="F31" s="40">
        <f t="shared" si="1"/>
        <v>144136.60096247264</v>
      </c>
      <c r="G31" s="60">
        <v>260822.31199677149</v>
      </c>
    </row>
    <row r="32" spans="1:13" ht="51" customHeight="1">
      <c r="A32" s="35" t="s">
        <v>43</v>
      </c>
      <c r="B32" s="26">
        <f>'PSU data'!B15+'PSU data'!B32+'PSU data'!B37</f>
        <v>29865</v>
      </c>
      <c r="C32" s="37">
        <f t="shared" si="0"/>
        <v>7.5365091061420086E-3</v>
      </c>
      <c r="D32" s="39">
        <f>B54+B54+B54</f>
        <v>15000</v>
      </c>
      <c r="E32" s="27">
        <f t="shared" si="2"/>
        <v>5426.2865564222466</v>
      </c>
      <c r="F32" s="40">
        <f t="shared" si="1"/>
        <v>20426.286556422245</v>
      </c>
      <c r="G32" s="60">
        <v>151498.67599990949</v>
      </c>
    </row>
    <row r="33" spans="1:7">
      <c r="A33" s="35" t="s">
        <v>30</v>
      </c>
      <c r="B33" s="26">
        <f>'PSU data'!B31</f>
        <v>77735</v>
      </c>
      <c r="C33" s="37">
        <f t="shared" si="0"/>
        <v>1.9616625995846276E-2</v>
      </c>
      <c r="D33" s="38">
        <f>B54</f>
        <v>5000</v>
      </c>
      <c r="E33" s="27">
        <f t="shared" si="2"/>
        <v>14123.970717009319</v>
      </c>
      <c r="F33" s="40">
        <f t="shared" si="1"/>
        <v>19123.970717009317</v>
      </c>
      <c r="G33" s="60">
        <v>87928.5916331966</v>
      </c>
    </row>
    <row r="34" spans="1:7">
      <c r="A34" s="34" t="s">
        <v>31</v>
      </c>
      <c r="B34" s="26">
        <v>0</v>
      </c>
      <c r="C34" s="37">
        <f t="shared" si="0"/>
        <v>0</v>
      </c>
      <c r="D34" s="38"/>
      <c r="E34" s="27">
        <f t="shared" si="2"/>
        <v>0</v>
      </c>
      <c r="F34" s="40">
        <f t="shared" si="1"/>
        <v>0</v>
      </c>
      <c r="G34" s="60">
        <v>0</v>
      </c>
    </row>
    <row r="35" spans="1:7">
      <c r="A35" s="34" t="s">
        <v>32</v>
      </c>
      <c r="B35" s="26">
        <f>'PSU data'!B33</f>
        <v>25480</v>
      </c>
      <c r="C35" s="37">
        <f t="shared" si="0"/>
        <v>6.4299431449689731E-3</v>
      </c>
      <c r="D35" s="38">
        <f>B54</f>
        <v>5000</v>
      </c>
      <c r="E35" s="27">
        <f>+$C$3*C35-1</f>
        <v>4628.5590643776604</v>
      </c>
      <c r="F35" s="40">
        <f t="shared" si="1"/>
        <v>9628.5590643776595</v>
      </c>
      <c r="G35" s="60">
        <v>74721.325209067116</v>
      </c>
    </row>
    <row r="36" spans="1:7">
      <c r="A36" s="34" t="s">
        <v>33</v>
      </c>
      <c r="B36" s="26">
        <f>'PSU data'!B34</f>
        <v>78340</v>
      </c>
      <c r="C36" s="37">
        <f t="shared" si="0"/>
        <v>1.9769299292655782E-2</v>
      </c>
      <c r="D36" s="38">
        <f>B54</f>
        <v>5000</v>
      </c>
      <c r="E36" s="27">
        <f t="shared" si="2"/>
        <v>14233.895490712162</v>
      </c>
      <c r="F36" s="40">
        <f t="shared" si="1"/>
        <v>19233.895490712162</v>
      </c>
      <c r="G36" s="60">
        <v>88055.980504590669</v>
      </c>
    </row>
    <row r="37" spans="1:7">
      <c r="A37" s="34" t="s">
        <v>34</v>
      </c>
      <c r="B37" s="26">
        <f>'PSU data'!B35</f>
        <v>26485</v>
      </c>
      <c r="C37" s="37">
        <f t="shared" si="0"/>
        <v>6.6835574644624508E-3</v>
      </c>
      <c r="D37" s="38">
        <f>B54</f>
        <v>5000</v>
      </c>
      <c r="E37" s="27">
        <f t="shared" si="2"/>
        <v>4812.1613744129645</v>
      </c>
      <c r="F37" s="40">
        <f t="shared" si="1"/>
        <v>9812.1613744129645</v>
      </c>
      <c r="G37" s="60">
        <v>74945.220801214295</v>
      </c>
    </row>
    <row r="38" spans="1:7">
      <c r="A38" s="34" t="s">
        <v>35</v>
      </c>
      <c r="B38" s="26">
        <f>'PSU data'!B36</f>
        <v>7070</v>
      </c>
      <c r="C38" s="37">
        <f t="shared" si="0"/>
        <v>1.7841325759391932E-3</v>
      </c>
      <c r="D38" s="38">
        <f>B54</f>
        <v>5000</v>
      </c>
      <c r="E38" s="27">
        <f>+$C$3*C38-1</f>
        <v>1283.5754546762191</v>
      </c>
      <c r="F38" s="40">
        <f t="shared" si="1"/>
        <v>6283.5754546762191</v>
      </c>
      <c r="G38" s="60">
        <v>39699.23666324815</v>
      </c>
    </row>
    <row r="39" spans="1:7">
      <c r="A39" s="35" t="s">
        <v>36</v>
      </c>
      <c r="B39" s="26">
        <v>0</v>
      </c>
      <c r="C39" s="37">
        <f t="shared" si="0"/>
        <v>0</v>
      </c>
      <c r="D39" s="39"/>
      <c r="E39" s="27">
        <f t="shared" si="2"/>
        <v>0</v>
      </c>
      <c r="F39" s="40">
        <f t="shared" si="1"/>
        <v>0</v>
      </c>
      <c r="G39" s="60">
        <v>0</v>
      </c>
    </row>
    <row r="40" spans="1:7">
      <c r="A40" s="36" t="s">
        <v>37</v>
      </c>
      <c r="B40" s="26">
        <f>'PSU data'!B38</f>
        <v>560465</v>
      </c>
      <c r="C40" s="37">
        <f t="shared" si="0"/>
        <v>0.14143477569642998</v>
      </c>
      <c r="D40" s="38">
        <f>B54</f>
        <v>5000</v>
      </c>
      <c r="E40" s="27">
        <f t="shared" si="2"/>
        <v>101833.03850142959</v>
      </c>
      <c r="F40" s="40">
        <f t="shared" si="1"/>
        <v>106833.03850142959</v>
      </c>
      <c r="G40" s="60">
        <v>207910.89389854428</v>
      </c>
    </row>
    <row r="41" spans="1:7">
      <c r="A41" s="34" t="s">
        <v>38</v>
      </c>
      <c r="B41" s="26">
        <f>'PSU data'!B39</f>
        <v>1440</v>
      </c>
      <c r="C41" s="37">
        <f t="shared" si="0"/>
        <v>3.6338768166229677E-4</v>
      </c>
      <c r="D41" s="38">
        <f>B54</f>
        <v>5000</v>
      </c>
      <c r="E41" s="27">
        <f t="shared" si="2"/>
        <v>261.63913079685369</v>
      </c>
      <c r="F41" s="40">
        <f t="shared" si="1"/>
        <v>5261.6391307968534</v>
      </c>
      <c r="G41" s="60">
        <v>38260.643145888767</v>
      </c>
    </row>
    <row r="42" spans="1:7">
      <c r="A42" s="34" t="s">
        <v>39</v>
      </c>
      <c r="B42" s="26">
        <f>'PSU data'!B40</f>
        <v>102525</v>
      </c>
      <c r="C42" s="37">
        <f t="shared" si="0"/>
        <v>2.5872445876685399E-2</v>
      </c>
      <c r="D42" s="38">
        <f>B54</f>
        <v>5000</v>
      </c>
      <c r="E42" s="27">
        <f t="shared" si="2"/>
        <v>18628.161031213487</v>
      </c>
      <c r="F42" s="40">
        <f t="shared" si="1"/>
        <v>23628.161031213487</v>
      </c>
      <c r="G42" s="60">
        <v>94085.720417243705</v>
      </c>
    </row>
    <row r="43" spans="1:7" ht="15" thickBot="1">
      <c r="A43" s="49" t="s">
        <v>40</v>
      </c>
      <c r="B43" s="47">
        <f>SUM(B6:B42)</f>
        <v>3962710</v>
      </c>
      <c r="C43" s="50">
        <f>SUM(C6:C42)</f>
        <v>1</v>
      </c>
      <c r="D43" s="51">
        <f>SUM(D6:D42)</f>
        <v>180000</v>
      </c>
      <c r="E43" s="48">
        <f>SUM(E6:E42)+5</f>
        <v>719999.99999999977</v>
      </c>
      <c r="F43" s="52">
        <f t="shared" si="1"/>
        <v>899999.99999999977</v>
      </c>
      <c r="G43" s="61">
        <v>3242803.9999999995</v>
      </c>
    </row>
    <row r="45" spans="1:7">
      <c r="A45" s="19"/>
      <c r="B45" s="18"/>
      <c r="C45" s="5"/>
      <c r="D45" s="5"/>
    </row>
    <row r="46" spans="1:7">
      <c r="A46" s="19"/>
      <c r="B46" s="5"/>
      <c r="C46" s="5"/>
      <c r="D46" s="5"/>
    </row>
    <row r="47" spans="1:7">
      <c r="A47" s="20"/>
      <c r="B47" s="18"/>
      <c r="C47" s="5"/>
      <c r="D47" s="5"/>
    </row>
    <row r="51" spans="1:7" s="53" customFormat="1">
      <c r="A51" s="53" t="s">
        <v>42</v>
      </c>
      <c r="G51" s="63"/>
    </row>
    <row r="52" spans="1:7" s="53" customFormat="1">
      <c r="G52" s="63"/>
    </row>
    <row r="53" spans="1:7" s="53" customFormat="1">
      <c r="B53" s="53" t="s">
        <v>45</v>
      </c>
      <c r="G53" s="63"/>
    </row>
    <row r="54" spans="1:7" s="53" customFormat="1">
      <c r="B54" s="54">
        <v>5000</v>
      </c>
      <c r="D54" s="1"/>
      <c r="G54" s="63"/>
    </row>
    <row r="55" spans="1:7" s="53" customFormat="1">
      <c r="B55" s="54"/>
      <c r="D55" s="1"/>
      <c r="G55" s="63"/>
    </row>
    <row r="56" spans="1:7" s="53" customFormat="1">
      <c r="D56" s="1"/>
      <c r="G56" s="63"/>
    </row>
    <row r="57" spans="1:7" s="53" customFormat="1">
      <c r="D57" s="1"/>
      <c r="G57" s="63"/>
    </row>
    <row r="58" spans="1:7" s="53" customFormat="1">
      <c r="D58" s="1"/>
      <c r="G58" s="63"/>
    </row>
    <row r="59" spans="1:7" s="53" customFormat="1">
      <c r="D59" s="1"/>
      <c r="G59" s="63"/>
    </row>
    <row r="60" spans="1:7" s="53" customFormat="1">
      <c r="B60" s="55"/>
      <c r="D60" s="1"/>
      <c r="G60" s="63"/>
    </row>
    <row r="61" spans="1:7" s="53" customFormat="1">
      <c r="B61" s="56"/>
      <c r="D61" s="1"/>
      <c r="G61" s="63"/>
    </row>
    <row r="62" spans="1:7" s="53" customFormat="1">
      <c r="D62" s="1"/>
      <c r="G62" s="63"/>
    </row>
    <row r="63" spans="1:7" s="53" customFormat="1">
      <c r="D63" s="1"/>
      <c r="G63" s="63"/>
    </row>
    <row r="64" spans="1:7" s="53" customFormat="1">
      <c r="D64" s="1"/>
      <c r="G64" s="63"/>
    </row>
    <row r="65" spans="1:7" s="53" customFormat="1">
      <c r="D65" s="1"/>
      <c r="G65" s="63"/>
    </row>
    <row r="66" spans="1:7" s="53" customFormat="1">
      <c r="B66" s="56"/>
      <c r="D66" s="1"/>
      <c r="G66" s="63"/>
    </row>
    <row r="67" spans="1:7" s="53" customFormat="1">
      <c r="D67" s="1"/>
      <c r="G67" s="63"/>
    </row>
    <row r="68" spans="1:7" s="53" customFormat="1">
      <c r="A68" s="1"/>
      <c r="B68" s="1"/>
      <c r="C68" s="1"/>
      <c r="D68" s="1"/>
      <c r="G68" s="63"/>
    </row>
    <row r="69" spans="1:7" s="53" customFormat="1">
      <c r="A69" s="1"/>
      <c r="B69" s="1"/>
      <c r="C69" s="1"/>
      <c r="D69" s="1"/>
      <c r="G69" s="63"/>
    </row>
    <row r="70" spans="1:7" s="53" customFormat="1">
      <c r="A70" s="1"/>
      <c r="B70" s="1"/>
      <c r="C70" s="1"/>
      <c r="D70" s="1"/>
      <c r="G70" s="63"/>
    </row>
    <row r="71" spans="1:7" s="53" customFormat="1">
      <c r="A71" s="1"/>
      <c r="B71" s="1"/>
      <c r="C71" s="1"/>
      <c r="D71" s="1"/>
      <c r="G71" s="63"/>
    </row>
  </sheetData>
  <mergeCells count="8">
    <mergeCell ref="A1:F1"/>
    <mergeCell ref="I3:M3"/>
    <mergeCell ref="I9:L9"/>
    <mergeCell ref="J10:K10"/>
    <mergeCell ref="I11:J11"/>
    <mergeCell ref="K11:L11"/>
    <mergeCell ref="A2:G2"/>
    <mergeCell ref="D3:F3"/>
  </mergeCells>
  <pageMargins left="0.7" right="0.7" top="0.75" bottom="0.75" header="0.3" footer="0.3"/>
  <pageSetup scale="63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A3" sqref="A3"/>
    </sheetView>
  </sheetViews>
  <sheetFormatPr baseColWidth="10" defaultColWidth="8.83203125" defaultRowHeight="14" x14ac:dyDescent="0"/>
  <cols>
    <col min="1" max="1" width="15.5" style="1" customWidth="1"/>
    <col min="2" max="2" width="11" style="1" customWidth="1"/>
    <col min="3" max="3" width="15.6640625" style="1" customWidth="1"/>
    <col min="4" max="4" width="15" style="1" customWidth="1"/>
    <col min="5" max="5" width="13.33203125" style="1" customWidth="1"/>
    <col min="6" max="6" width="18.5" style="1" customWidth="1"/>
    <col min="7" max="8" width="8.83203125" style="1"/>
    <col min="9" max="10" width="8.83203125" style="62"/>
    <col min="11" max="16384" width="8.83203125" style="1"/>
  </cols>
  <sheetData>
    <row r="1" spans="1:10" ht="23">
      <c r="A1" s="113" t="s">
        <v>71</v>
      </c>
      <c r="B1" s="113"/>
      <c r="C1" s="113"/>
      <c r="D1" s="113"/>
      <c r="E1" s="113"/>
      <c r="F1" s="113"/>
    </row>
    <row r="2" spans="1:10" ht="30.75" customHeight="1">
      <c r="A2" s="124" t="s">
        <v>78</v>
      </c>
      <c r="B2" s="125"/>
      <c r="C2" s="125"/>
      <c r="D2" s="125"/>
      <c r="E2" s="125"/>
      <c r="F2" s="125"/>
    </row>
    <row r="3" spans="1:10" s="3" customFormat="1" ht="42">
      <c r="A3" s="33"/>
      <c r="B3" s="102" t="s">
        <v>72</v>
      </c>
      <c r="C3" s="100" t="s">
        <v>74</v>
      </c>
      <c r="D3" s="100" t="s">
        <v>73</v>
      </c>
      <c r="E3" s="101" t="s">
        <v>75</v>
      </c>
      <c r="F3" s="103" t="s">
        <v>76</v>
      </c>
      <c r="I3" s="111"/>
      <c r="J3" s="111"/>
    </row>
    <row r="4" spans="1:10" ht="51" customHeight="1">
      <c r="A4" s="34" t="s">
        <v>4</v>
      </c>
      <c r="B4" s="108">
        <f>'$900K $5K Base'!F6</f>
        <v>7966.1519515684977</v>
      </c>
      <c r="C4" s="104">
        <v>1330</v>
      </c>
      <c r="D4" s="105">
        <v>5306</v>
      </c>
      <c r="E4" s="106">
        <v>1330</v>
      </c>
      <c r="F4" s="107">
        <f>SUM(C4:E4)</f>
        <v>7966</v>
      </c>
    </row>
    <row r="5" spans="1:10" ht="25.5" customHeight="1">
      <c r="A5" s="34" t="s">
        <v>5</v>
      </c>
      <c r="B5" s="108">
        <f>'$900K $5K Base'!F7</f>
        <v>21122.511435356108</v>
      </c>
      <c r="C5" s="104">
        <v>3520</v>
      </c>
      <c r="D5" s="105">
        <v>14083</v>
      </c>
      <c r="E5" s="106">
        <v>3520</v>
      </c>
      <c r="F5" s="107">
        <f t="shared" ref="F5:F40" si="0">SUM(C5:E5)</f>
        <v>21123</v>
      </c>
    </row>
    <row r="6" spans="1:10">
      <c r="A6" s="34" t="s">
        <v>6</v>
      </c>
      <c r="B6" s="108">
        <f>'$900K $5K Base'!F8</f>
        <v>76137.68103141537</v>
      </c>
      <c r="C6" s="104">
        <v>12690</v>
      </c>
      <c r="D6" s="105">
        <v>50758</v>
      </c>
      <c r="E6" s="106">
        <v>12690</v>
      </c>
      <c r="F6" s="107">
        <f t="shared" si="0"/>
        <v>76138</v>
      </c>
    </row>
    <row r="7" spans="1:10">
      <c r="A7" s="34" t="s">
        <v>7</v>
      </c>
      <c r="B7" s="108">
        <f>'$900K $5K Base'!F9</f>
        <v>11812.610561963909</v>
      </c>
      <c r="C7" s="104">
        <v>1969</v>
      </c>
      <c r="D7" s="105">
        <v>7875</v>
      </c>
      <c r="E7" s="106">
        <v>1969</v>
      </c>
      <c r="F7" s="107">
        <f t="shared" si="0"/>
        <v>11813</v>
      </c>
    </row>
    <row r="8" spans="1:10">
      <c r="A8" s="34" t="s">
        <v>8</v>
      </c>
      <c r="B8" s="108">
        <f>'$900K $5K Base'!F10</f>
        <v>14098.319079619756</v>
      </c>
      <c r="C8" s="104">
        <v>2350</v>
      </c>
      <c r="D8" s="105">
        <v>9398</v>
      </c>
      <c r="E8" s="106">
        <v>2350</v>
      </c>
      <c r="F8" s="107">
        <f t="shared" si="0"/>
        <v>14098</v>
      </c>
    </row>
    <row r="9" spans="1:10">
      <c r="A9" s="34" t="s">
        <v>9</v>
      </c>
      <c r="B9" s="108">
        <f>'$900K $5K Base'!F11</f>
        <v>16427.542588279233</v>
      </c>
      <c r="C9" s="104">
        <v>2738</v>
      </c>
      <c r="D9" s="112">
        <v>10952</v>
      </c>
      <c r="E9" s="106">
        <v>2738</v>
      </c>
      <c r="F9" s="107">
        <f t="shared" si="0"/>
        <v>16428</v>
      </c>
    </row>
    <row r="10" spans="1:10">
      <c r="A10" s="34" t="s">
        <v>10</v>
      </c>
      <c r="B10" s="108">
        <f>'$900K $5K Base'!F12</f>
        <v>8775.5980124712642</v>
      </c>
      <c r="C10" s="104">
        <v>1463</v>
      </c>
      <c r="D10" s="112">
        <v>5850</v>
      </c>
      <c r="E10" s="106">
        <v>1463</v>
      </c>
      <c r="F10" s="107">
        <f t="shared" si="0"/>
        <v>8776</v>
      </c>
    </row>
    <row r="11" spans="1:10" ht="38.25" customHeight="1">
      <c r="A11" s="34" t="s">
        <v>11</v>
      </c>
      <c r="B11" s="108">
        <f>'$900K $5K Base'!F13</f>
        <v>9061.7658117803221</v>
      </c>
      <c r="C11" s="104">
        <v>1510</v>
      </c>
      <c r="D11" s="112">
        <v>6042</v>
      </c>
      <c r="E11" s="106">
        <v>1510</v>
      </c>
      <c r="F11" s="107">
        <f t="shared" si="0"/>
        <v>9062</v>
      </c>
    </row>
    <row r="12" spans="1:10">
      <c r="A12" s="34" t="s">
        <v>12</v>
      </c>
      <c r="B12" s="108">
        <f>'$900K $5K Base'!F14</f>
        <v>35233.855114303093</v>
      </c>
      <c r="C12" s="104">
        <v>5872</v>
      </c>
      <c r="D12" s="112">
        <v>23490</v>
      </c>
      <c r="E12" s="106">
        <v>5872</v>
      </c>
      <c r="F12" s="107">
        <f t="shared" si="0"/>
        <v>35234</v>
      </c>
    </row>
    <row r="13" spans="1:10">
      <c r="A13" s="34" t="s">
        <v>13</v>
      </c>
      <c r="B13" s="108">
        <f>'$900K $5K Base'!F15</f>
        <v>24874.580779315165</v>
      </c>
      <c r="C13" s="104">
        <v>4146</v>
      </c>
      <c r="D13" s="112">
        <v>16583</v>
      </c>
      <c r="E13" s="106">
        <v>4146</v>
      </c>
      <c r="F13" s="107">
        <f t="shared" si="0"/>
        <v>24875</v>
      </c>
    </row>
    <row r="14" spans="1:10">
      <c r="A14" s="34" t="s">
        <v>14</v>
      </c>
      <c r="B14" s="108">
        <f>'$900K $5K Base'!F16</f>
        <v>0</v>
      </c>
      <c r="C14" s="104">
        <f t="shared" ref="C14:C37" si="1">B14/18*3</f>
        <v>0</v>
      </c>
      <c r="D14" s="112">
        <f t="shared" ref="D14:D37" si="2">SUM(B14/18*12)</f>
        <v>0</v>
      </c>
      <c r="E14" s="106">
        <f t="shared" ref="E14:E37" si="3">SUM(B14-C14-D14)</f>
        <v>0</v>
      </c>
      <c r="F14" s="107">
        <f t="shared" si="0"/>
        <v>0</v>
      </c>
    </row>
    <row r="15" spans="1:10">
      <c r="A15" s="34" t="s">
        <v>15</v>
      </c>
      <c r="B15" s="108">
        <f>'$900K $5K Base'!F17</f>
        <v>6349.0767681712769</v>
      </c>
      <c r="C15" s="104">
        <v>1058</v>
      </c>
      <c r="D15" s="112">
        <v>4233</v>
      </c>
      <c r="E15" s="106">
        <v>1058</v>
      </c>
      <c r="F15" s="107">
        <f t="shared" si="0"/>
        <v>6349</v>
      </c>
    </row>
    <row r="16" spans="1:10">
      <c r="A16" s="34" t="s">
        <v>16</v>
      </c>
      <c r="B16" s="108">
        <f>'$900K $5K Base'!F18</f>
        <v>6320.0057536382928</v>
      </c>
      <c r="C16" s="104">
        <v>1053</v>
      </c>
      <c r="D16" s="112">
        <v>4214</v>
      </c>
      <c r="E16" s="106">
        <v>1053</v>
      </c>
      <c r="F16" s="107">
        <f t="shared" si="0"/>
        <v>6320</v>
      </c>
    </row>
    <row r="17" spans="1:6">
      <c r="A17" s="34" t="s">
        <v>17</v>
      </c>
      <c r="B17" s="108">
        <f>'$900K $5K Base'!F19</f>
        <v>9311.5948429231503</v>
      </c>
      <c r="C17" s="104">
        <v>1552</v>
      </c>
      <c r="D17" s="112">
        <v>6208</v>
      </c>
      <c r="E17" s="106">
        <v>1552</v>
      </c>
      <c r="F17" s="107">
        <f t="shared" si="0"/>
        <v>9312</v>
      </c>
    </row>
    <row r="18" spans="1:6">
      <c r="A18" s="34" t="s">
        <v>18</v>
      </c>
      <c r="B18" s="108">
        <f>'$900K $5K Base'!F20</f>
        <v>42860.454083190547</v>
      </c>
      <c r="C18" s="104">
        <v>7143</v>
      </c>
      <c r="D18" s="112">
        <v>28574</v>
      </c>
      <c r="E18" s="106">
        <v>7143</v>
      </c>
      <c r="F18" s="107">
        <f t="shared" si="0"/>
        <v>42860</v>
      </c>
    </row>
    <row r="19" spans="1:6">
      <c r="A19" s="34" t="s">
        <v>19</v>
      </c>
      <c r="B19" s="108">
        <f>'$900K $5K Base'!F21</f>
        <v>9033.5117356556493</v>
      </c>
      <c r="C19" s="104">
        <v>1506</v>
      </c>
      <c r="D19" s="112">
        <v>6022</v>
      </c>
      <c r="E19" s="106">
        <v>1506</v>
      </c>
      <c r="F19" s="107">
        <f t="shared" si="0"/>
        <v>9034</v>
      </c>
    </row>
    <row r="20" spans="1:6">
      <c r="A20" s="34" t="s">
        <v>20</v>
      </c>
      <c r="B20" s="108">
        <f>'$900K $5K Base'!F22</f>
        <v>20099.666642272583</v>
      </c>
      <c r="C20" s="104">
        <v>3350</v>
      </c>
      <c r="D20" s="112">
        <v>13400</v>
      </c>
      <c r="E20" s="106">
        <v>3350</v>
      </c>
      <c r="F20" s="107">
        <f t="shared" si="0"/>
        <v>20100</v>
      </c>
    </row>
    <row r="21" spans="1:6">
      <c r="A21" s="34" t="s">
        <v>21</v>
      </c>
      <c r="B21" s="108">
        <f>'$900K $5K Base'!F23</f>
        <v>17157.134890012137</v>
      </c>
      <c r="C21" s="104">
        <v>2860</v>
      </c>
      <c r="D21" s="112">
        <v>11437</v>
      </c>
      <c r="E21" s="106">
        <v>2860</v>
      </c>
      <c r="F21" s="107">
        <f t="shared" si="0"/>
        <v>17157</v>
      </c>
    </row>
    <row r="22" spans="1:6">
      <c r="A22" s="34" t="s">
        <v>22</v>
      </c>
      <c r="B22" s="108">
        <f>'$900K $5K Base'!F24</f>
        <v>6451.7337882408756</v>
      </c>
      <c r="C22" s="104">
        <v>1075</v>
      </c>
      <c r="D22" s="112">
        <v>4302</v>
      </c>
      <c r="E22" s="106">
        <v>1075</v>
      </c>
      <c r="F22" s="107">
        <f t="shared" si="0"/>
        <v>6452</v>
      </c>
    </row>
    <row r="23" spans="1:6">
      <c r="A23" s="34" t="s">
        <v>23</v>
      </c>
      <c r="B23" s="108">
        <f>'$900K $5K Base'!F25</f>
        <v>70192.658559420204</v>
      </c>
      <c r="C23" s="104">
        <v>11699</v>
      </c>
      <c r="D23" s="112">
        <v>46795</v>
      </c>
      <c r="E23" s="106">
        <v>11699</v>
      </c>
      <c r="F23" s="107">
        <f t="shared" si="0"/>
        <v>70193</v>
      </c>
    </row>
    <row r="24" spans="1:6">
      <c r="A24" s="34" t="s">
        <v>24</v>
      </c>
      <c r="B24" s="108">
        <f>'$900K $5K Base'!F26</f>
        <v>13519.624196572548</v>
      </c>
      <c r="C24" s="104">
        <v>2253</v>
      </c>
      <c r="D24" s="112">
        <v>9014</v>
      </c>
      <c r="E24" s="106">
        <v>2253</v>
      </c>
      <c r="F24" s="107">
        <f t="shared" si="0"/>
        <v>13520</v>
      </c>
    </row>
    <row r="25" spans="1:6">
      <c r="A25" s="34" t="s">
        <v>25</v>
      </c>
      <c r="B25" s="108">
        <f>'$900K $5K Base'!F27</f>
        <v>26749.661216692617</v>
      </c>
      <c r="C25" s="104">
        <v>4458</v>
      </c>
      <c r="D25" s="112">
        <v>17834</v>
      </c>
      <c r="E25" s="106">
        <v>4458</v>
      </c>
      <c r="F25" s="107">
        <f t="shared" si="0"/>
        <v>26750</v>
      </c>
    </row>
    <row r="26" spans="1:6">
      <c r="A26" s="34" t="s">
        <v>26</v>
      </c>
      <c r="B26" s="108">
        <f>'$900K $5K Base'!F28</f>
        <v>10717.905170956241</v>
      </c>
      <c r="C26" s="104">
        <v>1786</v>
      </c>
      <c r="D26" s="112">
        <v>7146</v>
      </c>
      <c r="E26" s="106">
        <v>1786</v>
      </c>
      <c r="F26" s="107">
        <f t="shared" si="0"/>
        <v>10718</v>
      </c>
    </row>
    <row r="27" spans="1:6">
      <c r="A27" s="34" t="s">
        <v>27</v>
      </c>
      <c r="B27" s="108">
        <f>'$900K $5K Base'!F29</f>
        <v>64259.44618707904</v>
      </c>
      <c r="C27" s="104">
        <v>10710</v>
      </c>
      <c r="D27" s="112">
        <v>42839</v>
      </c>
      <c r="E27" s="106">
        <v>10710</v>
      </c>
      <c r="F27" s="107">
        <f t="shared" si="0"/>
        <v>64259</v>
      </c>
    </row>
    <row r="28" spans="1:6">
      <c r="A28" s="34" t="s">
        <v>28</v>
      </c>
      <c r="B28" s="108">
        <f>'$900K $5K Base'!F30</f>
        <v>7094.0215155789847</v>
      </c>
      <c r="C28" s="104">
        <v>1182</v>
      </c>
      <c r="D28" s="112">
        <v>4730</v>
      </c>
      <c r="E28" s="106">
        <v>1182</v>
      </c>
      <c r="F28" s="107">
        <f t="shared" si="0"/>
        <v>7094</v>
      </c>
    </row>
    <row r="29" spans="1:6">
      <c r="A29" s="34" t="s">
        <v>29</v>
      </c>
      <c r="B29" s="108">
        <f>'$900K $5K Base'!F31</f>
        <v>144136.60096247264</v>
      </c>
      <c r="C29" s="104">
        <v>24023</v>
      </c>
      <c r="D29" s="112">
        <v>96091</v>
      </c>
      <c r="E29" s="106">
        <v>24023</v>
      </c>
      <c r="F29" s="107">
        <f t="shared" si="0"/>
        <v>144137</v>
      </c>
    </row>
    <row r="30" spans="1:6" ht="51" customHeight="1">
      <c r="A30" s="35" t="s">
        <v>43</v>
      </c>
      <c r="B30" s="108">
        <f>'$900K $5K Base'!F32</f>
        <v>20426.286556422245</v>
      </c>
      <c r="C30" s="104">
        <v>3404</v>
      </c>
      <c r="D30" s="112">
        <v>13618</v>
      </c>
      <c r="E30" s="106">
        <v>3404</v>
      </c>
      <c r="F30" s="107">
        <f t="shared" si="0"/>
        <v>20426</v>
      </c>
    </row>
    <row r="31" spans="1:6">
      <c r="A31" s="35" t="s">
        <v>30</v>
      </c>
      <c r="B31" s="108">
        <f>'$900K $5K Base'!F33</f>
        <v>19123.970717009317</v>
      </c>
      <c r="C31" s="104">
        <v>3187</v>
      </c>
      <c r="D31" s="112">
        <v>12750</v>
      </c>
      <c r="E31" s="106">
        <v>3187</v>
      </c>
      <c r="F31" s="107">
        <f t="shared" si="0"/>
        <v>19124</v>
      </c>
    </row>
    <row r="32" spans="1:6">
      <c r="A32" s="34" t="s">
        <v>31</v>
      </c>
      <c r="B32" s="108">
        <f>'$900K $5K Base'!F34</f>
        <v>0</v>
      </c>
      <c r="C32" s="104">
        <f t="shared" si="1"/>
        <v>0</v>
      </c>
      <c r="D32" s="112">
        <f t="shared" si="2"/>
        <v>0</v>
      </c>
      <c r="E32" s="106">
        <f t="shared" si="3"/>
        <v>0</v>
      </c>
      <c r="F32" s="107">
        <f t="shared" si="0"/>
        <v>0</v>
      </c>
    </row>
    <row r="33" spans="1:6">
      <c r="A33" s="34" t="s">
        <v>32</v>
      </c>
      <c r="B33" s="108">
        <f>'$900K $5K Base'!F35</f>
        <v>9628.5590643776595</v>
      </c>
      <c r="C33" s="104">
        <v>1605</v>
      </c>
      <c r="D33" s="112">
        <v>6419</v>
      </c>
      <c r="E33" s="106">
        <v>1605</v>
      </c>
      <c r="F33" s="107">
        <f t="shared" si="0"/>
        <v>9629</v>
      </c>
    </row>
    <row r="34" spans="1:6">
      <c r="A34" s="34" t="s">
        <v>33</v>
      </c>
      <c r="B34" s="108">
        <f>'$900K $5K Base'!F36</f>
        <v>19233.895490712162</v>
      </c>
      <c r="C34" s="104">
        <v>3206</v>
      </c>
      <c r="D34" s="112">
        <v>12822</v>
      </c>
      <c r="E34" s="106">
        <v>3206</v>
      </c>
      <c r="F34" s="107">
        <f t="shared" si="0"/>
        <v>19234</v>
      </c>
    </row>
    <row r="35" spans="1:6">
      <c r="A35" s="34" t="s">
        <v>34</v>
      </c>
      <c r="B35" s="108">
        <f>'$900K $5K Base'!F37</f>
        <v>9812.1613744129645</v>
      </c>
      <c r="C35" s="104">
        <v>1635</v>
      </c>
      <c r="D35" s="112">
        <v>6542</v>
      </c>
      <c r="E35" s="106">
        <v>1635</v>
      </c>
      <c r="F35" s="107">
        <f t="shared" si="0"/>
        <v>9812</v>
      </c>
    </row>
    <row r="36" spans="1:6">
      <c r="A36" s="34" t="s">
        <v>35</v>
      </c>
      <c r="B36" s="108">
        <f>'$900K $5K Base'!F38</f>
        <v>6283.5754546762191</v>
      </c>
      <c r="C36" s="104">
        <v>1047</v>
      </c>
      <c r="D36" s="112">
        <v>4190</v>
      </c>
      <c r="E36" s="106">
        <v>1047</v>
      </c>
      <c r="F36" s="107">
        <f t="shared" si="0"/>
        <v>6284</v>
      </c>
    </row>
    <row r="37" spans="1:6">
      <c r="A37" s="35" t="s">
        <v>36</v>
      </c>
      <c r="B37" s="108">
        <f>'$900K $5K Base'!F39</f>
        <v>0</v>
      </c>
      <c r="C37" s="104">
        <f t="shared" si="1"/>
        <v>0</v>
      </c>
      <c r="D37" s="112">
        <f t="shared" si="2"/>
        <v>0</v>
      </c>
      <c r="E37" s="106">
        <f t="shared" si="3"/>
        <v>0</v>
      </c>
      <c r="F37" s="107">
        <f t="shared" si="0"/>
        <v>0</v>
      </c>
    </row>
    <row r="38" spans="1:6">
      <c r="A38" s="36" t="s">
        <v>37</v>
      </c>
      <c r="B38" s="108">
        <f>'$900K $5K Base'!F40</f>
        <v>106833.03850142959</v>
      </c>
      <c r="C38" s="104">
        <v>17806</v>
      </c>
      <c r="D38" s="112">
        <v>71221</v>
      </c>
      <c r="E38" s="106">
        <v>17806</v>
      </c>
      <c r="F38" s="107">
        <f t="shared" si="0"/>
        <v>106833</v>
      </c>
    </row>
    <row r="39" spans="1:6">
      <c r="A39" s="34" t="s">
        <v>38</v>
      </c>
      <c r="B39" s="108">
        <f>'$900K $5K Base'!F41</f>
        <v>5261.6391307968534</v>
      </c>
      <c r="C39" s="104">
        <v>877</v>
      </c>
      <c r="D39" s="112">
        <v>3508</v>
      </c>
      <c r="E39" s="106">
        <v>877</v>
      </c>
      <c r="F39" s="107">
        <f t="shared" si="0"/>
        <v>5262</v>
      </c>
    </row>
    <row r="40" spans="1:6">
      <c r="A40" s="34" t="s">
        <v>39</v>
      </c>
      <c r="B40" s="108">
        <f>'$900K $5K Base'!F42</f>
        <v>23628.161031213487</v>
      </c>
      <c r="C40" s="104">
        <v>3937</v>
      </c>
      <c r="D40" s="112">
        <v>15754</v>
      </c>
      <c r="E40" s="106">
        <v>3937</v>
      </c>
      <c r="F40" s="107">
        <f t="shared" si="0"/>
        <v>23628</v>
      </c>
    </row>
    <row r="41" spans="1:6" ht="15" thickBot="1">
      <c r="A41" s="49" t="s">
        <v>40</v>
      </c>
      <c r="B41" s="109">
        <f>SUM(B4:B40)+5</f>
        <v>899999.99999999988</v>
      </c>
      <c r="C41" s="109">
        <f t="shared" ref="C41:E41" si="4">SUM(C4:C40)</f>
        <v>150000</v>
      </c>
      <c r="D41" s="109">
        <f t="shared" si="4"/>
        <v>600000</v>
      </c>
      <c r="E41" s="109">
        <f t="shared" si="4"/>
        <v>150000</v>
      </c>
      <c r="F41" s="110">
        <f>SUM(F4:F40)</f>
        <v>900000</v>
      </c>
    </row>
    <row r="43" spans="1:6">
      <c r="A43" s="19"/>
      <c r="B43" s="18"/>
      <c r="C43" s="5"/>
      <c r="D43" s="5"/>
    </row>
    <row r="44" spans="1:6">
      <c r="A44" s="19"/>
      <c r="B44" s="5"/>
      <c r="C44" s="5"/>
      <c r="D44" s="5"/>
    </row>
    <row r="45" spans="1:6">
      <c r="A45" s="20"/>
      <c r="B45" s="18"/>
      <c r="C45" s="5"/>
      <c r="D45" s="5"/>
    </row>
    <row r="49" spans="1:10" s="53" customFormat="1">
      <c r="A49" s="53" t="s">
        <v>42</v>
      </c>
      <c r="I49" s="63"/>
      <c r="J49" s="63"/>
    </row>
    <row r="50" spans="1:10" s="53" customFormat="1">
      <c r="I50" s="63"/>
      <c r="J50" s="63"/>
    </row>
    <row r="51" spans="1:10" s="53" customFormat="1">
      <c r="B51" s="53" t="s">
        <v>45</v>
      </c>
      <c r="I51" s="63"/>
      <c r="J51" s="63"/>
    </row>
    <row r="52" spans="1:10" s="53" customFormat="1">
      <c r="B52" s="54">
        <v>5000</v>
      </c>
      <c r="D52" s="1"/>
      <c r="I52" s="63"/>
      <c r="J52" s="63"/>
    </row>
    <row r="53" spans="1:10" s="53" customFormat="1">
      <c r="B53" s="54"/>
      <c r="D53" s="1"/>
      <c r="I53" s="63"/>
      <c r="J53" s="63"/>
    </row>
    <row r="54" spans="1:10" s="53" customFormat="1">
      <c r="D54" s="1"/>
      <c r="I54" s="63"/>
      <c r="J54" s="63"/>
    </row>
    <row r="55" spans="1:10" s="53" customFormat="1">
      <c r="D55" s="1"/>
      <c r="I55" s="63"/>
      <c r="J55" s="63"/>
    </row>
    <row r="56" spans="1:10" s="53" customFormat="1">
      <c r="D56" s="1"/>
      <c r="I56" s="63"/>
      <c r="J56" s="63"/>
    </row>
    <row r="57" spans="1:10" s="53" customFormat="1">
      <c r="D57" s="1"/>
      <c r="I57" s="63"/>
      <c r="J57" s="63"/>
    </row>
    <row r="58" spans="1:10" s="53" customFormat="1">
      <c r="B58" s="55"/>
      <c r="D58" s="1"/>
      <c r="I58" s="63"/>
      <c r="J58" s="63"/>
    </row>
    <row r="59" spans="1:10" s="53" customFormat="1">
      <c r="B59" s="56"/>
      <c r="D59" s="1"/>
      <c r="I59" s="63"/>
      <c r="J59" s="63"/>
    </row>
    <row r="60" spans="1:10" s="53" customFormat="1">
      <c r="D60" s="1"/>
      <c r="I60" s="63"/>
      <c r="J60" s="63"/>
    </row>
    <row r="61" spans="1:10" s="53" customFormat="1">
      <c r="D61" s="1"/>
      <c r="I61" s="63"/>
      <c r="J61" s="63"/>
    </row>
    <row r="62" spans="1:10" s="53" customFormat="1">
      <c r="D62" s="1"/>
      <c r="I62" s="63"/>
      <c r="J62" s="63"/>
    </row>
    <row r="63" spans="1:10" s="53" customFormat="1">
      <c r="D63" s="1"/>
      <c r="I63" s="63"/>
      <c r="J63" s="63"/>
    </row>
    <row r="64" spans="1:10" s="53" customFormat="1">
      <c r="B64" s="56"/>
      <c r="D64" s="1"/>
      <c r="I64" s="63"/>
      <c r="J64" s="63"/>
    </row>
    <row r="65" spans="1:10" s="53" customFormat="1">
      <c r="D65" s="1"/>
      <c r="I65" s="63"/>
      <c r="J65" s="63"/>
    </row>
    <row r="66" spans="1:10" s="53" customFormat="1">
      <c r="A66" s="1"/>
      <c r="B66" s="1"/>
      <c r="C66" s="1"/>
      <c r="D66" s="1"/>
      <c r="I66" s="63"/>
      <c r="J66" s="63"/>
    </row>
    <row r="67" spans="1:10" s="53" customFormat="1">
      <c r="A67" s="1"/>
      <c r="B67" s="1"/>
      <c r="C67" s="1"/>
      <c r="D67" s="1"/>
      <c r="I67" s="63"/>
      <c r="J67" s="63"/>
    </row>
    <row r="68" spans="1:10" s="53" customFormat="1">
      <c r="A68" s="1"/>
      <c r="B68" s="1"/>
      <c r="C68" s="1"/>
      <c r="D68" s="1"/>
      <c r="I68" s="63"/>
      <c r="J68" s="63"/>
    </row>
    <row r="69" spans="1:10" s="53" customFormat="1">
      <c r="A69" s="1"/>
      <c r="B69" s="1"/>
      <c r="C69" s="1"/>
      <c r="D69" s="1"/>
      <c r="I69" s="63"/>
      <c r="J69" s="63"/>
    </row>
  </sheetData>
  <mergeCells count="2">
    <mergeCell ref="A1:F1"/>
    <mergeCell ref="A2:F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50"/>
  <sheetViews>
    <sheetView topLeftCell="A28" workbookViewId="0">
      <selection activeCell="G16" sqref="G16"/>
    </sheetView>
  </sheetViews>
  <sheetFormatPr baseColWidth="10" defaultColWidth="8.83203125" defaultRowHeight="14" x14ac:dyDescent="0"/>
  <cols>
    <col min="1" max="1" width="14.1640625" style="5" customWidth="1"/>
    <col min="2" max="2" width="11.83203125" style="5" customWidth="1"/>
    <col min="3" max="3" width="12.5" style="5" customWidth="1"/>
    <col min="4" max="4" width="11" style="5" customWidth="1"/>
    <col min="5" max="5" width="11.6640625" style="5" customWidth="1"/>
  </cols>
  <sheetData>
    <row r="1" spans="1:10" ht="15" thickBot="1">
      <c r="A1" s="64" t="s">
        <v>48</v>
      </c>
    </row>
    <row r="2" spans="1:10" ht="70.5" customHeight="1" thickBot="1">
      <c r="A2" s="6"/>
      <c r="B2" s="65" t="s">
        <v>49</v>
      </c>
      <c r="C2" s="66" t="s">
        <v>44</v>
      </c>
      <c r="D2" s="65" t="s">
        <v>50</v>
      </c>
      <c r="E2" s="67" t="s">
        <v>51</v>
      </c>
    </row>
    <row r="3" spans="1:10">
      <c r="A3" s="7" t="s">
        <v>41</v>
      </c>
      <c r="B3" s="8">
        <v>3962710</v>
      </c>
      <c r="C3" s="8">
        <v>3919020</v>
      </c>
      <c r="D3" s="8">
        <v>43690</v>
      </c>
      <c r="E3" s="9">
        <v>1.1148195212068224E-2</v>
      </c>
      <c r="G3" s="5"/>
      <c r="H3" s="5"/>
    </row>
    <row r="4" spans="1:10">
      <c r="A4" s="10"/>
      <c r="B4" s="68"/>
      <c r="C4" s="11"/>
      <c r="D4" s="11"/>
      <c r="E4" s="12"/>
      <c r="G4" s="13"/>
      <c r="H4" s="13"/>
      <c r="I4" s="13"/>
      <c r="J4" s="13"/>
    </row>
    <row r="5" spans="1:10">
      <c r="A5" s="14" t="s">
        <v>4</v>
      </c>
      <c r="B5" s="11">
        <v>16325</v>
      </c>
      <c r="C5" s="11">
        <v>16280</v>
      </c>
      <c r="D5" s="11">
        <v>45</v>
      </c>
      <c r="E5" s="12">
        <v>2.7641277641277107E-3</v>
      </c>
    </row>
    <row r="6" spans="1:10">
      <c r="A6" s="14" t="s">
        <v>5</v>
      </c>
      <c r="B6" s="11">
        <v>88740</v>
      </c>
      <c r="C6" s="11">
        <v>87725</v>
      </c>
      <c r="D6" s="11">
        <v>1015</v>
      </c>
      <c r="E6" s="12">
        <v>1.1570247933884392E-2</v>
      </c>
    </row>
    <row r="7" spans="1:10">
      <c r="A7" s="14" t="s">
        <v>6</v>
      </c>
      <c r="B7" s="11">
        <v>391525</v>
      </c>
      <c r="C7" s="11">
        <v>386080</v>
      </c>
      <c r="D7" s="11">
        <v>5445</v>
      </c>
      <c r="E7" s="12">
        <v>1.4103294653957654E-2</v>
      </c>
    </row>
    <row r="8" spans="1:10">
      <c r="A8" s="14" t="s">
        <v>7</v>
      </c>
      <c r="B8" s="11">
        <v>37495</v>
      </c>
      <c r="C8" s="11">
        <v>37270</v>
      </c>
      <c r="D8" s="11">
        <v>225</v>
      </c>
      <c r="E8" s="12">
        <v>6.0370270995437902E-3</v>
      </c>
    </row>
    <row r="9" spans="1:10">
      <c r="A9" s="14" t="s">
        <v>8</v>
      </c>
      <c r="B9" s="11">
        <v>50075</v>
      </c>
      <c r="C9" s="11">
        <v>49850</v>
      </c>
      <c r="D9" s="11">
        <v>225</v>
      </c>
      <c r="E9" s="12">
        <v>4.5135406218654861E-3</v>
      </c>
    </row>
    <row r="10" spans="1:10">
      <c r="A10" s="14" t="s">
        <v>9</v>
      </c>
      <c r="B10" s="11">
        <v>62900</v>
      </c>
      <c r="C10" s="11">
        <v>62860</v>
      </c>
      <c r="D10" s="11">
        <v>40</v>
      </c>
      <c r="E10" s="12">
        <v>6.3633471205859493E-4</v>
      </c>
    </row>
    <row r="11" spans="1:10">
      <c r="A11" s="14" t="s">
        <v>10</v>
      </c>
      <c r="B11" s="11">
        <v>20780</v>
      </c>
      <c r="C11" s="11">
        <v>20690</v>
      </c>
      <c r="D11" s="11">
        <v>90</v>
      </c>
      <c r="E11" s="12">
        <v>4.3499275012082173E-3</v>
      </c>
    </row>
    <row r="12" spans="1:10">
      <c r="A12" s="14" t="s">
        <v>11</v>
      </c>
      <c r="B12" s="11">
        <v>22355</v>
      </c>
      <c r="C12" s="11">
        <v>22300</v>
      </c>
      <c r="D12" s="11">
        <v>55</v>
      </c>
      <c r="E12" s="12">
        <v>2.4663677130045691E-3</v>
      </c>
    </row>
    <row r="13" spans="1:10">
      <c r="A13" s="14" t="s">
        <v>12</v>
      </c>
      <c r="B13" s="11">
        <v>166400</v>
      </c>
      <c r="C13" s="11">
        <v>162525</v>
      </c>
      <c r="D13" s="11">
        <v>3875</v>
      </c>
      <c r="E13" s="12">
        <v>2.3842485771419675E-2</v>
      </c>
    </row>
    <row r="14" spans="1:10">
      <c r="A14" s="14" t="s">
        <v>13</v>
      </c>
      <c r="B14" s="11">
        <v>109385</v>
      </c>
      <c r="C14" s="11">
        <v>108850</v>
      </c>
      <c r="D14" s="11">
        <v>535</v>
      </c>
      <c r="E14" s="12">
        <v>4.9150206706476407E-3</v>
      </c>
    </row>
    <row r="15" spans="1:10">
      <c r="A15" s="14" t="s">
        <v>14</v>
      </c>
      <c r="B15" s="11">
        <v>1975</v>
      </c>
      <c r="C15" s="11">
        <v>1945</v>
      </c>
      <c r="D15" s="11">
        <v>30</v>
      </c>
      <c r="E15" s="12">
        <v>1.5424164524421524E-2</v>
      </c>
    </row>
    <row r="16" spans="1:10">
      <c r="A16" s="14" t="s">
        <v>15</v>
      </c>
      <c r="B16" s="11">
        <v>7425</v>
      </c>
      <c r="C16" s="11">
        <v>7435</v>
      </c>
      <c r="D16" s="11">
        <v>-10</v>
      </c>
      <c r="E16" s="12">
        <v>-1.3449899125757003E-3</v>
      </c>
    </row>
    <row r="17" spans="1:5">
      <c r="A17" s="14" t="s">
        <v>16</v>
      </c>
      <c r="B17" s="11">
        <v>7265</v>
      </c>
      <c r="C17" s="11">
        <v>7260</v>
      </c>
      <c r="D17" s="11">
        <v>5</v>
      </c>
      <c r="E17" s="12">
        <v>6.8870523415975882E-4</v>
      </c>
    </row>
    <row r="18" spans="1:5">
      <c r="A18" s="14" t="s">
        <v>17</v>
      </c>
      <c r="B18" s="11">
        <v>23730</v>
      </c>
      <c r="C18" s="11">
        <v>23295</v>
      </c>
      <c r="D18" s="11">
        <v>435</v>
      </c>
      <c r="E18" s="12">
        <v>1.8673535093367777E-2</v>
      </c>
    </row>
    <row r="19" spans="1:5">
      <c r="A19" s="14" t="s">
        <v>18</v>
      </c>
      <c r="B19" s="11">
        <v>208375</v>
      </c>
      <c r="C19" s="11">
        <v>206310</v>
      </c>
      <c r="D19" s="11">
        <v>2065</v>
      </c>
      <c r="E19" s="12">
        <v>1.0009209442101596E-2</v>
      </c>
    </row>
    <row r="20" spans="1:5">
      <c r="A20" s="14" t="s">
        <v>19</v>
      </c>
      <c r="B20" s="11">
        <v>22205</v>
      </c>
      <c r="C20" s="11">
        <v>22040</v>
      </c>
      <c r="D20" s="11">
        <v>165</v>
      </c>
      <c r="E20" s="12">
        <v>7.4863883847549051E-3</v>
      </c>
    </row>
    <row r="21" spans="1:5">
      <c r="A21" s="14" t="s">
        <v>20</v>
      </c>
      <c r="B21" s="11">
        <v>83105</v>
      </c>
      <c r="C21" s="11">
        <v>82815</v>
      </c>
      <c r="D21" s="11">
        <v>290</v>
      </c>
      <c r="E21" s="12">
        <v>3.5017810783071202E-3</v>
      </c>
    </row>
    <row r="22" spans="1:5">
      <c r="A22" s="14" t="s">
        <v>21</v>
      </c>
      <c r="B22" s="11">
        <v>66910</v>
      </c>
      <c r="C22" s="11">
        <v>66810</v>
      </c>
      <c r="D22" s="11">
        <v>100</v>
      </c>
      <c r="E22" s="12">
        <v>1.4967819188744791E-3</v>
      </c>
    </row>
    <row r="23" spans="1:5">
      <c r="A23" s="14" t="s">
        <v>22</v>
      </c>
      <c r="B23" s="11">
        <v>7990</v>
      </c>
      <c r="C23" s="11">
        <v>7940</v>
      </c>
      <c r="D23" s="11">
        <v>50</v>
      </c>
      <c r="E23" s="12">
        <v>6.297229219143663E-3</v>
      </c>
    </row>
    <row r="24" spans="1:5">
      <c r="A24" s="14" t="s">
        <v>23</v>
      </c>
      <c r="B24" s="11">
        <v>358805</v>
      </c>
      <c r="C24" s="11">
        <v>356125</v>
      </c>
      <c r="D24" s="11">
        <v>2680</v>
      </c>
      <c r="E24" s="12">
        <v>7.5254475254475928E-3</v>
      </c>
    </row>
    <row r="25" spans="1:5">
      <c r="A25" s="14" t="s">
        <v>24</v>
      </c>
      <c r="B25" s="11">
        <v>46890</v>
      </c>
      <c r="C25" s="11">
        <v>46560</v>
      </c>
      <c r="D25" s="11">
        <v>330</v>
      </c>
      <c r="E25" s="12">
        <v>7.0876288659793563E-3</v>
      </c>
    </row>
    <row r="26" spans="1:5">
      <c r="A26" s="14" t="s">
        <v>25</v>
      </c>
      <c r="B26" s="11">
        <v>119705</v>
      </c>
      <c r="C26" s="11">
        <v>118665</v>
      </c>
      <c r="D26" s="11">
        <v>1040</v>
      </c>
      <c r="E26" s="12">
        <v>8.764168036067943E-3</v>
      </c>
    </row>
    <row r="27" spans="1:5">
      <c r="A27" s="14" t="s">
        <v>26</v>
      </c>
      <c r="B27" s="11">
        <v>31470</v>
      </c>
      <c r="C27" s="11">
        <v>31440</v>
      </c>
      <c r="D27" s="11">
        <v>30</v>
      </c>
      <c r="E27" s="12">
        <v>9.5419847328237495E-4</v>
      </c>
    </row>
    <row r="28" spans="1:5">
      <c r="A28" s="14" t="s">
        <v>27</v>
      </c>
      <c r="B28" s="11">
        <v>326150</v>
      </c>
      <c r="C28" s="11">
        <v>322880</v>
      </c>
      <c r="D28" s="11">
        <v>3270</v>
      </c>
      <c r="E28" s="12">
        <v>1.0127601585728341E-2</v>
      </c>
    </row>
    <row r="29" spans="1:5">
      <c r="A29" s="14" t="s">
        <v>28</v>
      </c>
      <c r="B29" s="11">
        <v>11525</v>
      </c>
      <c r="C29" s="11">
        <v>11425</v>
      </c>
      <c r="D29" s="11">
        <v>100</v>
      </c>
      <c r="E29" s="12">
        <v>8.7527352297593897E-3</v>
      </c>
    </row>
    <row r="30" spans="1:5">
      <c r="A30" s="14" t="s">
        <v>29</v>
      </c>
      <c r="B30" s="11">
        <v>765775</v>
      </c>
      <c r="C30" s="11">
        <v>756530</v>
      </c>
      <c r="D30" s="11">
        <v>9245</v>
      </c>
      <c r="E30" s="12">
        <v>1.2220268859133077E-2</v>
      </c>
    </row>
    <row r="31" spans="1:5">
      <c r="A31" s="14" t="s">
        <v>30</v>
      </c>
      <c r="B31" s="11">
        <v>77735</v>
      </c>
      <c r="C31" s="11">
        <v>77065</v>
      </c>
      <c r="D31" s="11">
        <v>670</v>
      </c>
      <c r="E31" s="12">
        <v>8.6939596444559619E-3</v>
      </c>
    </row>
    <row r="32" spans="1:5">
      <c r="A32" s="14" t="s">
        <v>31</v>
      </c>
      <c r="B32" s="11">
        <v>1785</v>
      </c>
      <c r="C32" s="11">
        <v>1780</v>
      </c>
      <c r="D32" s="11">
        <v>5</v>
      </c>
      <c r="E32" s="12">
        <v>2.8089887640450062E-3</v>
      </c>
    </row>
    <row r="33" spans="1:5">
      <c r="A33" s="14" t="s">
        <v>32</v>
      </c>
      <c r="B33" s="11">
        <v>25480</v>
      </c>
      <c r="C33" s="11">
        <v>25375</v>
      </c>
      <c r="D33" s="11">
        <v>105</v>
      </c>
      <c r="E33" s="12">
        <v>4.1379310344826781E-3</v>
      </c>
    </row>
    <row r="34" spans="1:5">
      <c r="A34" s="14" t="s">
        <v>33</v>
      </c>
      <c r="B34" s="11">
        <v>78340</v>
      </c>
      <c r="C34" s="11">
        <v>77895</v>
      </c>
      <c r="D34" s="11">
        <v>445</v>
      </c>
      <c r="E34" s="12">
        <v>5.7128185377752772E-3</v>
      </c>
    </row>
    <row r="35" spans="1:5">
      <c r="A35" s="14" t="s">
        <v>34</v>
      </c>
      <c r="B35" s="11">
        <v>26485</v>
      </c>
      <c r="C35" s="11">
        <v>26325</v>
      </c>
      <c r="D35" s="11">
        <v>160</v>
      </c>
      <c r="E35" s="12">
        <v>6.0778727445394143E-3</v>
      </c>
    </row>
    <row r="36" spans="1:5">
      <c r="A36" s="14" t="s">
        <v>35</v>
      </c>
      <c r="B36" s="11">
        <v>7070</v>
      </c>
      <c r="C36" s="11">
        <v>7045</v>
      </c>
      <c r="D36" s="11">
        <v>25</v>
      </c>
      <c r="E36" s="12">
        <v>3.5486160397444344E-3</v>
      </c>
    </row>
    <row r="37" spans="1:5">
      <c r="A37" s="14" t="s">
        <v>36</v>
      </c>
      <c r="B37" s="11">
        <v>26105</v>
      </c>
      <c r="C37" s="11">
        <v>25810</v>
      </c>
      <c r="D37" s="11">
        <v>295</v>
      </c>
      <c r="E37" s="12">
        <v>1.1429678419217382E-2</v>
      </c>
    </row>
    <row r="38" spans="1:5">
      <c r="A38" s="14" t="s">
        <v>37</v>
      </c>
      <c r="B38" s="11">
        <v>560465</v>
      </c>
      <c r="C38" s="11">
        <v>550990</v>
      </c>
      <c r="D38" s="11">
        <v>9475</v>
      </c>
      <c r="E38" s="12">
        <v>1.7196319352438261E-2</v>
      </c>
    </row>
    <row r="39" spans="1:5">
      <c r="A39" s="14" t="s">
        <v>38</v>
      </c>
      <c r="B39" s="11">
        <v>1440</v>
      </c>
      <c r="C39" s="11">
        <v>1430</v>
      </c>
      <c r="D39" s="11">
        <v>10</v>
      </c>
      <c r="E39" s="12">
        <v>6.9930069930070893E-3</v>
      </c>
    </row>
    <row r="40" spans="1:5" ht="15" thickBot="1">
      <c r="A40" s="15" t="s">
        <v>39</v>
      </c>
      <c r="B40" s="16">
        <v>102525</v>
      </c>
      <c r="C40" s="16">
        <v>101400</v>
      </c>
      <c r="D40" s="16">
        <v>1125</v>
      </c>
      <c r="E40" s="17">
        <v>1.1094674556213047E-2</v>
      </c>
    </row>
    <row r="41" spans="1:5">
      <c r="C41" s="18"/>
    </row>
    <row r="42" spans="1:5">
      <c r="A42" s="19" t="s">
        <v>52</v>
      </c>
      <c r="B42" s="18"/>
    </row>
    <row r="43" spans="1:5">
      <c r="A43" s="19" t="s">
        <v>53</v>
      </c>
    </row>
    <row r="44" spans="1:5">
      <c r="A44" s="19" t="s">
        <v>54</v>
      </c>
      <c r="B44" s="18"/>
    </row>
    <row r="45" spans="1:5">
      <c r="A45" s="20" t="s">
        <v>55</v>
      </c>
      <c r="B45" s="21"/>
      <c r="C45" s="21"/>
      <c r="D45" s="21"/>
    </row>
    <row r="46" spans="1:5">
      <c r="B46" s="21"/>
      <c r="C46" s="21"/>
      <c r="D46" s="21"/>
    </row>
    <row r="47" spans="1:5">
      <c r="B47" s="22"/>
      <c r="C47" s="22"/>
      <c r="D47" s="22"/>
    </row>
    <row r="50" spans="1:5">
      <c r="A50"/>
      <c r="B50" s="18"/>
      <c r="C50" s="18"/>
      <c r="D50" s="18"/>
      <c r="E50"/>
    </row>
  </sheetData>
  <pageMargins left="0.7" right="0.7" top="0.75" bottom="0.75" header="0.3" footer="0.3"/>
  <pageSetup scale="96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$900K $5K Base</vt:lpstr>
      <vt:lpstr>Funding by FY</vt:lpstr>
      <vt:lpstr>PSU data</vt:lpstr>
    </vt:vector>
  </TitlesOfParts>
  <Company>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Human Services</dc:creator>
  <cp:lastModifiedBy>Morgan D. Cowling</cp:lastModifiedBy>
  <cp:lastPrinted>2015-02-17T21:46:40Z</cp:lastPrinted>
  <dcterms:created xsi:type="dcterms:W3CDTF">2011-10-31T20:29:51Z</dcterms:created>
  <dcterms:modified xsi:type="dcterms:W3CDTF">2015-03-17T04:13:31Z</dcterms:modified>
</cp:coreProperties>
</file>